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tabRatio="602" firstSheet="2" activeTab="9"/>
  </bookViews>
  <sheets>
    <sheet name="Исходные данные" sheetId="10" r:id="rId1"/>
    <sheet name="прогноз доходов" sheetId="13" r:id="rId2"/>
    <sheet name="прогноз расходов" sheetId="15" r:id="rId3"/>
    <sheet name="ИНП" sheetId="14" r:id="rId4"/>
    <sheet name="ИБР_мсу" sheetId="16" r:id="rId5"/>
    <sheet name="ИБР_бу" sheetId="17" r:id="rId6"/>
    <sheet name="ИБР_прочие" sheetId="18" r:id="rId7"/>
    <sheet name="ИБР_культура" sheetId="20" r:id="rId8"/>
    <sheet name="ИБР_общий, БО, дотации" sheetId="19" r:id="rId9"/>
    <sheet name="2017,2018,2019" sheetId="21" r:id="rId10"/>
    <sheet name="Лист2" sheetId="22" r:id="rId11"/>
  </sheets>
  <externalReferences>
    <externalReference r:id="rId12"/>
  </externalReferences>
  <definedNames>
    <definedName name="_xlnm.Print_Titles" localSheetId="8">'ИБР_общий, БО, дотации'!$A:$A</definedName>
    <definedName name="_xlnm.Print_Area" localSheetId="8">'ИБР_общий, БО, дотации'!$A$1:$X$26</definedName>
    <definedName name="_xlnm.Print_Area" localSheetId="3">ИНП!$A$1:$L$23</definedName>
    <definedName name="_xlnm.Print_Area" localSheetId="2">'прогноз расходов'!$A$1:$F$29</definedName>
  </definedNames>
  <calcPr calcId="145621" fullCalcOnLoad="1" refMode="R1C1"/>
</workbook>
</file>

<file path=xl/calcChain.xml><?xml version="1.0" encoding="utf-8"?>
<calcChain xmlns="http://schemas.openxmlformats.org/spreadsheetml/2006/main">
  <c r="R11" i="21" l="1"/>
  <c r="AG11" i="21" s="1"/>
  <c r="Q11" i="21"/>
  <c r="E11" i="15"/>
  <c r="E21" i="15" s="1"/>
  <c r="E20" i="21"/>
  <c r="D20" i="20"/>
  <c r="T7" i="16"/>
  <c r="E6" i="21"/>
  <c r="E7" i="21"/>
  <c r="E8" i="21"/>
  <c r="E9" i="21"/>
  <c r="E10" i="21"/>
  <c r="E11" i="21"/>
  <c r="E12" i="21"/>
  <c r="E13" i="21"/>
  <c r="E14" i="21"/>
  <c r="E15" i="21"/>
  <c r="E16" i="21"/>
  <c r="O16" i="21" s="1"/>
  <c r="E17" i="21"/>
  <c r="E18" i="21"/>
  <c r="E19" i="21"/>
  <c r="E5" i="21"/>
  <c r="O5" i="21" s="1"/>
  <c r="W6" i="21"/>
  <c r="AF6" i="21"/>
  <c r="X6" i="21"/>
  <c r="W7" i="21"/>
  <c r="AF7" i="21" s="1"/>
  <c r="X7" i="21"/>
  <c r="AG7" i="21" s="1"/>
  <c r="W8" i="21"/>
  <c r="AF8" i="21" s="1"/>
  <c r="X8" i="21"/>
  <c r="AG8" i="21" s="1"/>
  <c r="W9" i="21"/>
  <c r="AF9" i="21" s="1"/>
  <c r="X9" i="21"/>
  <c r="AG9" i="21" s="1"/>
  <c r="W10" i="21"/>
  <c r="AF10" i="21" s="1"/>
  <c r="X10" i="21"/>
  <c r="AG10" i="21" s="1"/>
  <c r="W11" i="21"/>
  <c r="AF11" i="21" s="1"/>
  <c r="X11" i="21"/>
  <c r="W12" i="21"/>
  <c r="AF12" i="21" s="1"/>
  <c r="X12" i="21"/>
  <c r="AG12" i="21" s="1"/>
  <c r="W13" i="21"/>
  <c r="AF13" i="21" s="1"/>
  <c r="X13" i="21"/>
  <c r="AG13" i="21" s="1"/>
  <c r="W14" i="21"/>
  <c r="AF14" i="21" s="1"/>
  <c r="X14" i="21"/>
  <c r="AG14" i="21" s="1"/>
  <c r="W15" i="21"/>
  <c r="AF15" i="21" s="1"/>
  <c r="X15" i="21"/>
  <c r="AG15" i="21" s="1"/>
  <c r="W16" i="21"/>
  <c r="AF16" i="21" s="1"/>
  <c r="X16" i="21"/>
  <c r="AG16" i="21" s="1"/>
  <c r="W17" i="21"/>
  <c r="AF17" i="21" s="1"/>
  <c r="X17" i="21"/>
  <c r="AG17" i="21" s="1"/>
  <c r="W18" i="21"/>
  <c r="AF18" i="21" s="1"/>
  <c r="X18" i="21"/>
  <c r="AG18" i="21" s="1"/>
  <c r="W19" i="21"/>
  <c r="AF19" i="21" s="1"/>
  <c r="X19" i="21"/>
  <c r="AG19" i="21" s="1"/>
  <c r="W20" i="21"/>
  <c r="AF20" i="21" s="1"/>
  <c r="X20" i="21"/>
  <c r="AG20" i="21" s="1"/>
  <c r="X5" i="21"/>
  <c r="AG5" i="21" s="1"/>
  <c r="W5" i="21"/>
  <c r="A25" i="19"/>
  <c r="N7" i="16"/>
  <c r="G7" i="17"/>
  <c r="D7" i="20"/>
  <c r="S23" i="16"/>
  <c r="C21" i="13"/>
  <c r="D21" i="13"/>
  <c r="B7" i="19"/>
  <c r="B7" i="18"/>
  <c r="C7" i="14"/>
  <c r="B7" i="14"/>
  <c r="H5" i="21"/>
  <c r="I5" i="21"/>
  <c r="H6" i="21"/>
  <c r="N6" i="21"/>
  <c r="I6" i="21"/>
  <c r="H7" i="21"/>
  <c r="N7" i="21" s="1"/>
  <c r="I7" i="21"/>
  <c r="H8" i="21"/>
  <c r="N8" i="21"/>
  <c r="I8" i="21"/>
  <c r="O8" i="21"/>
  <c r="H9" i="21"/>
  <c r="N9" i="21"/>
  <c r="I9" i="21"/>
  <c r="O9" i="21"/>
  <c r="H10" i="21"/>
  <c r="I10" i="21"/>
  <c r="H11" i="21"/>
  <c r="I11" i="21"/>
  <c r="H12" i="21"/>
  <c r="N12" i="21"/>
  <c r="I12" i="21"/>
  <c r="H13" i="21"/>
  <c r="N13" i="21" s="1"/>
  <c r="I13" i="21"/>
  <c r="O13" i="21" s="1"/>
  <c r="H14" i="21"/>
  <c r="N14" i="21" s="1"/>
  <c r="I14" i="21"/>
  <c r="H15" i="21"/>
  <c r="N15" i="21"/>
  <c r="I15" i="21"/>
  <c r="O15" i="21"/>
  <c r="H16" i="21"/>
  <c r="N16" i="21"/>
  <c r="I16" i="21"/>
  <c r="H17" i="21"/>
  <c r="N17" i="21"/>
  <c r="I17" i="21"/>
  <c r="O17" i="21"/>
  <c r="H18" i="21"/>
  <c r="N18" i="21"/>
  <c r="I18" i="21"/>
  <c r="O18" i="21"/>
  <c r="H19" i="21"/>
  <c r="N19" i="21"/>
  <c r="I19" i="21"/>
  <c r="O19" i="21"/>
  <c r="H20" i="21"/>
  <c r="N20" i="21"/>
  <c r="I20" i="21"/>
  <c r="O20" i="21"/>
  <c r="C21" i="21"/>
  <c r="G21" i="21"/>
  <c r="J21" i="21"/>
  <c r="K21" i="21"/>
  <c r="L21" i="21"/>
  <c r="S21" i="21"/>
  <c r="T21" i="21"/>
  <c r="U21" i="21"/>
  <c r="V21" i="21"/>
  <c r="Y21" i="21"/>
  <c r="Z21" i="21"/>
  <c r="AA21" i="21"/>
  <c r="AB21" i="21"/>
  <c r="AC21" i="21"/>
  <c r="AD21" i="21"/>
  <c r="A7" i="19"/>
  <c r="A8" i="19"/>
  <c r="B8" i="19"/>
  <c r="A9" i="19"/>
  <c r="B9" i="19"/>
  <c r="A10" i="19"/>
  <c r="B10" i="19"/>
  <c r="A11" i="19"/>
  <c r="B11" i="19"/>
  <c r="A12" i="19"/>
  <c r="B12" i="19"/>
  <c r="A13" i="19"/>
  <c r="B13" i="19"/>
  <c r="A14" i="19"/>
  <c r="B14" i="19"/>
  <c r="A15" i="19"/>
  <c r="B15" i="19"/>
  <c r="A16" i="19"/>
  <c r="B16" i="19"/>
  <c r="A17" i="19"/>
  <c r="B17" i="19"/>
  <c r="A18" i="19"/>
  <c r="B18" i="19"/>
  <c r="A19" i="19"/>
  <c r="B19" i="19"/>
  <c r="A20" i="19"/>
  <c r="B20" i="19"/>
  <c r="A21" i="19"/>
  <c r="B21" i="19"/>
  <c r="A22" i="19"/>
  <c r="B22" i="19"/>
  <c r="S23" i="19"/>
  <c r="T23" i="19"/>
  <c r="A7" i="20"/>
  <c r="B7" i="20"/>
  <c r="A8" i="20"/>
  <c r="B8" i="20"/>
  <c r="D8" i="20"/>
  <c r="A9" i="20"/>
  <c r="B9" i="20"/>
  <c r="D9" i="20"/>
  <c r="A10" i="20"/>
  <c r="B10" i="20"/>
  <c r="D10" i="20"/>
  <c r="A11" i="20"/>
  <c r="B11" i="20"/>
  <c r="D11" i="20"/>
  <c r="A12" i="20"/>
  <c r="B12" i="20"/>
  <c r="D12" i="20"/>
  <c r="A13" i="20"/>
  <c r="B13" i="20"/>
  <c r="D13" i="20"/>
  <c r="A14" i="20"/>
  <c r="B14" i="20"/>
  <c r="D14" i="20"/>
  <c r="A15" i="20"/>
  <c r="B15" i="20"/>
  <c r="D15" i="20"/>
  <c r="A16" i="20"/>
  <c r="B16" i="20"/>
  <c r="D16" i="20"/>
  <c r="A17" i="20"/>
  <c r="B17" i="20"/>
  <c r="D17" i="20"/>
  <c r="A18" i="20"/>
  <c r="B18" i="20"/>
  <c r="D18" i="20"/>
  <c r="A19" i="20"/>
  <c r="B19" i="20"/>
  <c r="D19" i="20"/>
  <c r="A20" i="20"/>
  <c r="B20" i="20"/>
  <c r="A21" i="20"/>
  <c r="B21" i="20"/>
  <c r="D21" i="20"/>
  <c r="A22" i="20"/>
  <c r="B22" i="20"/>
  <c r="D22" i="20"/>
  <c r="C23" i="20"/>
  <c r="A7" i="18"/>
  <c r="C7" i="18"/>
  <c r="E7" i="18"/>
  <c r="G7" i="18"/>
  <c r="I7" i="18"/>
  <c r="J7" i="18"/>
  <c r="A8" i="18"/>
  <c r="B8" i="18"/>
  <c r="C8" i="18"/>
  <c r="E8" i="18"/>
  <c r="G8" i="18"/>
  <c r="I8" i="18"/>
  <c r="J8" i="18"/>
  <c r="A9" i="18"/>
  <c r="B9" i="18"/>
  <c r="B23" i="18" s="1"/>
  <c r="C9" i="18"/>
  <c r="E9" i="18"/>
  <c r="G9" i="18"/>
  <c r="I9" i="18"/>
  <c r="J9" i="18"/>
  <c r="A10" i="18"/>
  <c r="B10" i="18"/>
  <c r="C10" i="18"/>
  <c r="E10" i="18"/>
  <c r="G10" i="18"/>
  <c r="I10" i="18"/>
  <c r="J10" i="18"/>
  <c r="A11" i="18"/>
  <c r="B11" i="18"/>
  <c r="C11" i="18"/>
  <c r="E11" i="18"/>
  <c r="G11" i="18"/>
  <c r="I11" i="18"/>
  <c r="J11" i="18"/>
  <c r="A12" i="18"/>
  <c r="B12" i="18"/>
  <c r="C12" i="18"/>
  <c r="E12" i="18"/>
  <c r="G12" i="18"/>
  <c r="I12" i="18"/>
  <c r="J12" i="18"/>
  <c r="A13" i="18"/>
  <c r="B13" i="18"/>
  <c r="C13" i="18"/>
  <c r="E13" i="18"/>
  <c r="G13" i="18"/>
  <c r="I13" i="18"/>
  <c r="J13" i="18"/>
  <c r="A14" i="18"/>
  <c r="B14" i="18"/>
  <c r="C14" i="18"/>
  <c r="E14" i="18"/>
  <c r="G14" i="18"/>
  <c r="I14" i="18"/>
  <c r="J14" i="18"/>
  <c r="A15" i="18"/>
  <c r="B15" i="18"/>
  <c r="C15" i="18"/>
  <c r="E15" i="18"/>
  <c r="G15" i="18"/>
  <c r="I15" i="18"/>
  <c r="J15" i="18"/>
  <c r="A16" i="18"/>
  <c r="B16" i="18"/>
  <c r="C16" i="18"/>
  <c r="E16" i="18"/>
  <c r="G16" i="18"/>
  <c r="I16" i="18"/>
  <c r="J16" i="18"/>
  <c r="A17" i="18"/>
  <c r="B17" i="18"/>
  <c r="C17" i="18"/>
  <c r="E17" i="18"/>
  <c r="G17" i="18"/>
  <c r="I17" i="18"/>
  <c r="J17" i="18"/>
  <c r="A18" i="18"/>
  <c r="B18" i="18"/>
  <c r="C18" i="18"/>
  <c r="E18" i="18"/>
  <c r="G18" i="18"/>
  <c r="I18" i="18"/>
  <c r="J18" i="18"/>
  <c r="A19" i="18"/>
  <c r="B19" i="18"/>
  <c r="C19" i="18"/>
  <c r="E19" i="18"/>
  <c r="G19" i="18"/>
  <c r="I19" i="18"/>
  <c r="J19" i="18"/>
  <c r="A20" i="18"/>
  <c r="B20" i="18"/>
  <c r="C20" i="18"/>
  <c r="E20" i="18"/>
  <c r="G20" i="18"/>
  <c r="I20" i="18"/>
  <c r="J20" i="18"/>
  <c r="A21" i="18"/>
  <c r="B21" i="18"/>
  <c r="C21" i="18"/>
  <c r="E21" i="18"/>
  <c r="G21" i="18"/>
  <c r="I21" i="18"/>
  <c r="J21" i="18"/>
  <c r="A22" i="18"/>
  <c r="B22" i="18"/>
  <c r="C22" i="18"/>
  <c r="E22" i="18"/>
  <c r="G22" i="18"/>
  <c r="I22" i="18"/>
  <c r="J22" i="18"/>
  <c r="A7" i="17"/>
  <c r="B7" i="17"/>
  <c r="C7" i="17"/>
  <c r="E7" i="17"/>
  <c r="I7" i="17"/>
  <c r="J7" i="17"/>
  <c r="N7" i="17"/>
  <c r="O7" i="17"/>
  <c r="P7" i="17"/>
  <c r="Q7" i="17"/>
  <c r="A8" i="17"/>
  <c r="B8" i="17"/>
  <c r="C8" i="17"/>
  <c r="E8" i="17"/>
  <c r="G8" i="17"/>
  <c r="I8" i="17"/>
  <c r="J8" i="17"/>
  <c r="N8" i="17"/>
  <c r="O8" i="17"/>
  <c r="P8" i="17"/>
  <c r="Q8" i="17"/>
  <c r="A9" i="17"/>
  <c r="B9" i="17"/>
  <c r="C9" i="17"/>
  <c r="E9" i="17"/>
  <c r="G9" i="17"/>
  <c r="I9" i="17"/>
  <c r="J9" i="17"/>
  <c r="N9" i="17"/>
  <c r="O9" i="17"/>
  <c r="P9" i="17"/>
  <c r="Q9" i="17"/>
  <c r="A10" i="17"/>
  <c r="B10" i="17"/>
  <c r="C10" i="17"/>
  <c r="E10" i="17"/>
  <c r="G10" i="17"/>
  <c r="I10" i="17"/>
  <c r="J10" i="17"/>
  <c r="N10" i="17"/>
  <c r="O10" i="17"/>
  <c r="P10" i="17"/>
  <c r="Q10" i="17"/>
  <c r="A11" i="17"/>
  <c r="B11" i="17"/>
  <c r="C11" i="17"/>
  <c r="E11" i="17"/>
  <c r="G11" i="17"/>
  <c r="I11" i="17"/>
  <c r="J11" i="17"/>
  <c r="N11" i="17"/>
  <c r="O11" i="17"/>
  <c r="P11" i="17"/>
  <c r="Q11" i="17"/>
  <c r="A12" i="17"/>
  <c r="B12" i="17"/>
  <c r="C12" i="17"/>
  <c r="E12" i="17"/>
  <c r="G12" i="17"/>
  <c r="I12" i="17"/>
  <c r="J12" i="17"/>
  <c r="N12" i="17"/>
  <c r="O12" i="17"/>
  <c r="P12" i="17"/>
  <c r="Q12" i="17"/>
  <c r="A13" i="17"/>
  <c r="B13" i="17"/>
  <c r="C13" i="17"/>
  <c r="E13" i="17"/>
  <c r="G13" i="17"/>
  <c r="I13" i="17"/>
  <c r="J13" i="17"/>
  <c r="N13" i="17"/>
  <c r="O13" i="17"/>
  <c r="P13" i="17"/>
  <c r="Q13" i="17"/>
  <c r="A14" i="17"/>
  <c r="B14" i="17"/>
  <c r="C14" i="17"/>
  <c r="E14" i="17"/>
  <c r="G14" i="17"/>
  <c r="I14" i="17"/>
  <c r="J14" i="17"/>
  <c r="N14" i="17"/>
  <c r="O14" i="17"/>
  <c r="P14" i="17"/>
  <c r="Q14" i="17"/>
  <c r="A15" i="17"/>
  <c r="B15" i="17"/>
  <c r="C15" i="17"/>
  <c r="E15" i="17"/>
  <c r="G15" i="17"/>
  <c r="I15" i="17"/>
  <c r="J15" i="17"/>
  <c r="N15" i="17"/>
  <c r="O15" i="17"/>
  <c r="P15" i="17"/>
  <c r="Q15" i="17"/>
  <c r="A16" i="17"/>
  <c r="B16" i="17"/>
  <c r="C16" i="17"/>
  <c r="E16" i="17"/>
  <c r="G16" i="17"/>
  <c r="I16" i="17"/>
  <c r="J16" i="17"/>
  <c r="N16" i="17"/>
  <c r="O16" i="17"/>
  <c r="P16" i="17"/>
  <c r="Q16" i="17"/>
  <c r="A17" i="17"/>
  <c r="B17" i="17"/>
  <c r="C17" i="17"/>
  <c r="E17" i="17"/>
  <c r="G17" i="17"/>
  <c r="I17" i="17"/>
  <c r="J17" i="17"/>
  <c r="N17" i="17"/>
  <c r="O17" i="17"/>
  <c r="P17" i="17"/>
  <c r="Q17" i="17"/>
  <c r="A18" i="17"/>
  <c r="B18" i="17"/>
  <c r="C18" i="17"/>
  <c r="E18" i="17"/>
  <c r="G18" i="17"/>
  <c r="I18" i="17"/>
  <c r="J18" i="17"/>
  <c r="N18" i="17"/>
  <c r="O18" i="17"/>
  <c r="P18" i="17"/>
  <c r="Q18" i="17"/>
  <c r="A19" i="17"/>
  <c r="B19" i="17"/>
  <c r="C19" i="17"/>
  <c r="E19" i="17"/>
  <c r="G19" i="17"/>
  <c r="I19" i="17"/>
  <c r="J19" i="17"/>
  <c r="N19" i="17"/>
  <c r="O19" i="17"/>
  <c r="P19" i="17"/>
  <c r="Q19" i="17"/>
  <c r="A20" i="17"/>
  <c r="B20" i="17"/>
  <c r="C20" i="17"/>
  <c r="E20" i="17"/>
  <c r="G20" i="17"/>
  <c r="I20" i="17"/>
  <c r="J20" i="17"/>
  <c r="N20" i="17"/>
  <c r="O20" i="17"/>
  <c r="P20" i="17"/>
  <c r="Q20" i="17"/>
  <c r="A21" i="17"/>
  <c r="B21" i="17"/>
  <c r="C21" i="17"/>
  <c r="E21" i="17"/>
  <c r="G21" i="17"/>
  <c r="I21" i="17"/>
  <c r="J21" i="17"/>
  <c r="N21" i="17"/>
  <c r="O21" i="17"/>
  <c r="P21" i="17"/>
  <c r="Q21" i="17"/>
  <c r="A22" i="17"/>
  <c r="B22" i="17"/>
  <c r="C22" i="17"/>
  <c r="E22" i="17"/>
  <c r="G22" i="17"/>
  <c r="I22" i="17"/>
  <c r="J22" i="17"/>
  <c r="N22" i="17"/>
  <c r="O22" i="17"/>
  <c r="P22" i="17"/>
  <c r="Q22" i="17"/>
  <c r="A7" i="16"/>
  <c r="B7" i="16"/>
  <c r="O7" i="16" s="1"/>
  <c r="Q7" i="16" s="1"/>
  <c r="C7" i="16"/>
  <c r="E7" i="16"/>
  <c r="G7" i="16"/>
  <c r="I7" i="16"/>
  <c r="J7" i="16"/>
  <c r="A8" i="16"/>
  <c r="B8" i="16"/>
  <c r="C8" i="16"/>
  <c r="E8" i="16"/>
  <c r="G8" i="16"/>
  <c r="I8" i="16"/>
  <c r="J8" i="16"/>
  <c r="N8" i="16"/>
  <c r="T8" i="16"/>
  <c r="A9" i="16"/>
  <c r="B9" i="16"/>
  <c r="C9" i="16"/>
  <c r="E9" i="16"/>
  <c r="G9" i="16"/>
  <c r="I9" i="16"/>
  <c r="J9" i="16"/>
  <c r="N9" i="16"/>
  <c r="O9" i="16" s="1"/>
  <c r="Q9" i="16" s="1"/>
  <c r="T9" i="16"/>
  <c r="A10" i="16"/>
  <c r="B10" i="16"/>
  <c r="C10" i="16"/>
  <c r="E10" i="16"/>
  <c r="G10" i="16"/>
  <c r="I10" i="16"/>
  <c r="J10" i="16"/>
  <c r="N10" i="16"/>
  <c r="T10" i="16"/>
  <c r="A11" i="16"/>
  <c r="B11" i="16"/>
  <c r="C11" i="16"/>
  <c r="E11" i="16"/>
  <c r="G11" i="16"/>
  <c r="I11" i="16"/>
  <c r="J11" i="16"/>
  <c r="N11" i="16"/>
  <c r="O11" i="16" s="1"/>
  <c r="Q11" i="16" s="1"/>
  <c r="T11" i="16"/>
  <c r="A12" i="16"/>
  <c r="B12" i="16"/>
  <c r="C12" i="16"/>
  <c r="E12" i="16"/>
  <c r="E23" i="16" s="1"/>
  <c r="G12" i="16"/>
  <c r="I12" i="16"/>
  <c r="J12" i="16"/>
  <c r="N12" i="16"/>
  <c r="O12" i="16" s="1"/>
  <c r="Q12" i="16" s="1"/>
  <c r="T12" i="16"/>
  <c r="A13" i="16"/>
  <c r="B13" i="16"/>
  <c r="O13" i="16"/>
  <c r="Q13" i="16" s="1"/>
  <c r="C13" i="16"/>
  <c r="E13" i="16"/>
  <c r="G13" i="16"/>
  <c r="I13" i="16"/>
  <c r="J13" i="16"/>
  <c r="N13" i="16"/>
  <c r="T13" i="16"/>
  <c r="A14" i="16"/>
  <c r="B14" i="16"/>
  <c r="C14" i="16"/>
  <c r="E14" i="16"/>
  <c r="G14" i="16"/>
  <c r="I14" i="16"/>
  <c r="J14" i="16"/>
  <c r="N14" i="16"/>
  <c r="O14" i="16" s="1"/>
  <c r="Q14" i="16" s="1"/>
  <c r="T14" i="16"/>
  <c r="A15" i="16"/>
  <c r="B15" i="16"/>
  <c r="C15" i="16"/>
  <c r="E15" i="16"/>
  <c r="G15" i="16"/>
  <c r="I15" i="16"/>
  <c r="J15" i="16"/>
  <c r="N15" i="16"/>
  <c r="T15" i="16"/>
  <c r="A16" i="16"/>
  <c r="B16" i="16"/>
  <c r="C16" i="16"/>
  <c r="E16" i="16"/>
  <c r="G16" i="16"/>
  <c r="I16" i="16"/>
  <c r="J16" i="16"/>
  <c r="N16" i="16"/>
  <c r="O16" i="16"/>
  <c r="Q16" i="16" s="1"/>
  <c r="T16" i="16"/>
  <c r="A17" i="16"/>
  <c r="B17" i="16"/>
  <c r="C17" i="16"/>
  <c r="E17" i="16"/>
  <c r="G17" i="16"/>
  <c r="I17" i="16"/>
  <c r="I23" i="16" s="1"/>
  <c r="L22" i="16" s="1"/>
  <c r="M22" i="16" s="1"/>
  <c r="J17" i="16"/>
  <c r="N17" i="16"/>
  <c r="T17" i="16"/>
  <c r="A18" i="16"/>
  <c r="B18" i="16"/>
  <c r="C18" i="16"/>
  <c r="E18" i="16"/>
  <c r="G18" i="16"/>
  <c r="I18" i="16"/>
  <c r="J18" i="16"/>
  <c r="N18" i="16"/>
  <c r="T18" i="16"/>
  <c r="A19" i="16"/>
  <c r="B19" i="16"/>
  <c r="C19" i="16"/>
  <c r="C23" i="16"/>
  <c r="E19" i="16"/>
  <c r="G19" i="16"/>
  <c r="I19" i="16"/>
  <c r="J19" i="16"/>
  <c r="N19" i="16"/>
  <c r="O19" i="16"/>
  <c r="Q19" i="16" s="1"/>
  <c r="T19" i="16"/>
  <c r="A20" i="16"/>
  <c r="B20" i="16"/>
  <c r="C20" i="16"/>
  <c r="E20" i="16"/>
  <c r="G20" i="16"/>
  <c r="I20" i="16"/>
  <c r="J20" i="16"/>
  <c r="N20" i="16"/>
  <c r="O20" i="16" s="1"/>
  <c r="Q20" i="16" s="1"/>
  <c r="T20" i="16"/>
  <c r="A21" i="16"/>
  <c r="B21" i="16"/>
  <c r="C21" i="16"/>
  <c r="E21" i="16"/>
  <c r="G21" i="16"/>
  <c r="I21" i="16"/>
  <c r="J21" i="16"/>
  <c r="N21" i="16"/>
  <c r="O21" i="16"/>
  <c r="Q21" i="16" s="1"/>
  <c r="T21" i="16"/>
  <c r="A22" i="16"/>
  <c r="B22" i="16"/>
  <c r="C22" i="16"/>
  <c r="E22" i="16"/>
  <c r="G22" i="16"/>
  <c r="I22" i="16"/>
  <c r="J22" i="16"/>
  <c r="N22" i="16"/>
  <c r="T22" i="16"/>
  <c r="A7" i="14"/>
  <c r="D7" i="14"/>
  <c r="E7" i="14"/>
  <c r="F7" i="14"/>
  <c r="A8" i="14"/>
  <c r="B8" i="14"/>
  <c r="B23" i="14" s="1"/>
  <c r="C8" i="14"/>
  <c r="D8" i="14"/>
  <c r="E8" i="14"/>
  <c r="F8" i="14"/>
  <c r="A9" i="14"/>
  <c r="B9" i="14"/>
  <c r="C9" i="14"/>
  <c r="D9" i="14"/>
  <c r="E9" i="14"/>
  <c r="F9" i="14"/>
  <c r="A10" i="14"/>
  <c r="B10" i="14"/>
  <c r="C10" i="14"/>
  <c r="D10" i="14"/>
  <c r="E10" i="14"/>
  <c r="F10" i="14"/>
  <c r="A11" i="14"/>
  <c r="B11" i="14"/>
  <c r="C11" i="14"/>
  <c r="D11" i="14"/>
  <c r="E11" i="14"/>
  <c r="F11" i="14"/>
  <c r="A12" i="14"/>
  <c r="B12" i="14"/>
  <c r="C12" i="14"/>
  <c r="D12" i="14"/>
  <c r="E12" i="14"/>
  <c r="F12" i="14"/>
  <c r="A13" i="14"/>
  <c r="B13" i="14"/>
  <c r="C13" i="14"/>
  <c r="D13" i="14"/>
  <c r="E13" i="14"/>
  <c r="F13" i="14"/>
  <c r="A14" i="14"/>
  <c r="B14" i="14"/>
  <c r="C14" i="14"/>
  <c r="D14" i="14"/>
  <c r="E14" i="14"/>
  <c r="F14" i="14"/>
  <c r="A15" i="14"/>
  <c r="B15" i="14"/>
  <c r="C15" i="14"/>
  <c r="D15" i="14"/>
  <c r="E15" i="14"/>
  <c r="F15" i="14"/>
  <c r="A16" i="14"/>
  <c r="B16" i="14"/>
  <c r="C16" i="14"/>
  <c r="D16" i="14"/>
  <c r="E16" i="14"/>
  <c r="F16" i="14"/>
  <c r="A17" i="14"/>
  <c r="B17" i="14"/>
  <c r="C17" i="14"/>
  <c r="D17" i="14"/>
  <c r="E17" i="14"/>
  <c r="F17" i="14"/>
  <c r="A18" i="14"/>
  <c r="B18" i="14"/>
  <c r="C18" i="14"/>
  <c r="D18" i="14"/>
  <c r="E18" i="14"/>
  <c r="F18" i="14"/>
  <c r="A19" i="14"/>
  <c r="B19" i="14"/>
  <c r="C19" i="14"/>
  <c r="H19" i="14" s="1"/>
  <c r="D19" i="14"/>
  <c r="E19" i="14"/>
  <c r="F19" i="14"/>
  <c r="A20" i="14"/>
  <c r="B20" i="14"/>
  <c r="C20" i="14"/>
  <c r="D20" i="14"/>
  <c r="E20" i="14"/>
  <c r="F20" i="14"/>
  <c r="A21" i="14"/>
  <c r="B21" i="14"/>
  <c r="C21" i="14"/>
  <c r="D21" i="14"/>
  <c r="E21" i="14"/>
  <c r="F21" i="14"/>
  <c r="A22" i="14"/>
  <c r="B22" i="14"/>
  <c r="C22" i="14"/>
  <c r="D22" i="14"/>
  <c r="E22" i="14"/>
  <c r="F22" i="14"/>
  <c r="A5" i="15"/>
  <c r="F5" i="15"/>
  <c r="P5" i="21"/>
  <c r="A6" i="15"/>
  <c r="F6" i="15"/>
  <c r="P6" i="21" s="1"/>
  <c r="A7" i="15"/>
  <c r="F7" i="15"/>
  <c r="P7" i="21"/>
  <c r="M7" i="21" s="1"/>
  <c r="X9" i="19" s="1"/>
  <c r="A8" i="15"/>
  <c r="F8" i="15"/>
  <c r="P8" i="21" s="1"/>
  <c r="AE8" i="21" s="1"/>
  <c r="A9" i="15"/>
  <c r="F9" i="15"/>
  <c r="A10" i="15"/>
  <c r="F10" i="15"/>
  <c r="P10" i="21"/>
  <c r="AE10" i="21" s="1"/>
  <c r="A11" i="15"/>
  <c r="A12" i="15"/>
  <c r="F12" i="15"/>
  <c r="P12" i="21" s="1"/>
  <c r="A13" i="15"/>
  <c r="F13" i="15"/>
  <c r="P13" i="21"/>
  <c r="M13" i="21" s="1"/>
  <c r="X15" i="19"/>
  <c r="A14" i="15"/>
  <c r="F14" i="15"/>
  <c r="A15" i="15"/>
  <c r="F15" i="15"/>
  <c r="P15" i="21" s="1"/>
  <c r="M15" i="21" s="1"/>
  <c r="X17" i="19" s="1"/>
  <c r="A16" i="15"/>
  <c r="F16" i="15"/>
  <c r="P16" i="21"/>
  <c r="AE16" i="21" s="1"/>
  <c r="A17" i="15"/>
  <c r="F17" i="15"/>
  <c r="P17" i="21"/>
  <c r="M17" i="21" s="1"/>
  <c r="X19" i="19" s="1"/>
  <c r="A18" i="15"/>
  <c r="F18" i="15"/>
  <c r="P18" i="21" s="1"/>
  <c r="M18" i="21"/>
  <c r="X20" i="19" s="1"/>
  <c r="A19" i="15"/>
  <c r="F19" i="15"/>
  <c r="P19" i="21"/>
  <c r="A20" i="15"/>
  <c r="F20" i="15"/>
  <c r="P20" i="21" s="1"/>
  <c r="B21" i="15"/>
  <c r="C21" i="15"/>
  <c r="D21" i="15"/>
  <c r="A5" i="13"/>
  <c r="A6" i="13"/>
  <c r="A7" i="13"/>
  <c r="A8" i="13"/>
  <c r="A9" i="13"/>
  <c r="A10" i="13"/>
  <c r="A11" i="13"/>
  <c r="A12" i="13"/>
  <c r="A13" i="13"/>
  <c r="A14" i="13"/>
  <c r="A15" i="13"/>
  <c r="A16" i="13"/>
  <c r="A17" i="13"/>
  <c r="A18" i="13"/>
  <c r="A19" i="13"/>
  <c r="A20" i="13"/>
  <c r="B21" i="13"/>
  <c r="E21" i="13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G23" i="18"/>
  <c r="L16" i="18" s="1"/>
  <c r="M16" i="18" s="1"/>
  <c r="E23" i="17"/>
  <c r="O10" i="16"/>
  <c r="Q10" i="16" s="1"/>
  <c r="E23" i="18"/>
  <c r="O22" i="16"/>
  <c r="Q22" i="16" s="1"/>
  <c r="D21" i="21"/>
  <c r="B23" i="20"/>
  <c r="P14" i="21"/>
  <c r="AE14" i="21" s="1"/>
  <c r="AE15" i="21"/>
  <c r="O14" i="21"/>
  <c r="O10" i="21"/>
  <c r="O12" i="21"/>
  <c r="O11" i="21"/>
  <c r="E7" i="20"/>
  <c r="F7" i="20" s="1"/>
  <c r="F7" i="19" s="1"/>
  <c r="D23" i="20"/>
  <c r="E22" i="20" s="1"/>
  <c r="I17" i="14"/>
  <c r="F23" i="14"/>
  <c r="T23" i="16"/>
  <c r="G23" i="16"/>
  <c r="E21" i="21"/>
  <c r="C25" i="21" s="1"/>
  <c r="E20" i="20"/>
  <c r="F20" i="20"/>
  <c r="F20" i="19" s="1"/>
  <c r="H17" i="16"/>
  <c r="H14" i="18"/>
  <c r="M14" i="18" s="1"/>
  <c r="W21" i="21"/>
  <c r="AF5" i="21"/>
  <c r="AF21" i="21" s="1"/>
  <c r="AG6" i="21"/>
  <c r="X21" i="21"/>
  <c r="D23" i="14"/>
  <c r="I23" i="17"/>
  <c r="E19" i="20"/>
  <c r="F19" i="20"/>
  <c r="F19" i="19" s="1"/>
  <c r="B23" i="16"/>
  <c r="C23" i="17"/>
  <c r="B23" i="17"/>
  <c r="H11" i="17" s="1"/>
  <c r="M11" i="17" s="1"/>
  <c r="L18" i="18"/>
  <c r="L13" i="18"/>
  <c r="M8" i="21"/>
  <c r="X10" i="19" s="1"/>
  <c r="O15" i="16"/>
  <c r="Q15" i="16" s="1"/>
  <c r="AE20" i="21"/>
  <c r="M20" i="21"/>
  <c r="X22" i="19"/>
  <c r="O8" i="16"/>
  <c r="Q8" i="16"/>
  <c r="B23" i="19"/>
  <c r="U14" i="19"/>
  <c r="Q23" i="17"/>
  <c r="U7" i="16"/>
  <c r="E8" i="20"/>
  <c r="F8" i="20"/>
  <c r="F8" i="19" s="1"/>
  <c r="L10" i="18"/>
  <c r="U19" i="16"/>
  <c r="O17" i="16"/>
  <c r="Q17" i="16" s="1"/>
  <c r="N23" i="16"/>
  <c r="O23" i="17"/>
  <c r="N23" i="17"/>
  <c r="R21" i="17" s="1"/>
  <c r="H13" i="18"/>
  <c r="M13" i="18" s="1"/>
  <c r="F22" i="20"/>
  <c r="F22" i="19"/>
  <c r="E15" i="20"/>
  <c r="F15" i="20" s="1"/>
  <c r="F15" i="19"/>
  <c r="AE17" i="21"/>
  <c r="P9" i="21"/>
  <c r="M9" i="21" s="1"/>
  <c r="X11" i="19" s="1"/>
  <c r="C23" i="14"/>
  <c r="E23" i="14"/>
  <c r="E13" i="20"/>
  <c r="F13" i="20" s="1"/>
  <c r="F13" i="19"/>
  <c r="E16" i="20"/>
  <c r="F16" i="20" s="1"/>
  <c r="F16" i="19" s="1"/>
  <c r="L21" i="18"/>
  <c r="J18" i="14"/>
  <c r="O18" i="16"/>
  <c r="Q18" i="16" s="1"/>
  <c r="P23" i="17"/>
  <c r="R19" i="17"/>
  <c r="H11" i="18"/>
  <c r="C23" i="18"/>
  <c r="H12" i="18" s="1"/>
  <c r="M12" i="18" s="1"/>
  <c r="I23" i="18"/>
  <c r="L7" i="18"/>
  <c r="E21" i="20"/>
  <c r="F21" i="20" s="1"/>
  <c r="F21" i="19" s="1"/>
  <c r="E18" i="20"/>
  <c r="F18" i="20"/>
  <c r="F18" i="19"/>
  <c r="G23" i="17"/>
  <c r="H17" i="14"/>
  <c r="H23" i="14"/>
  <c r="H21" i="14"/>
  <c r="H13" i="14"/>
  <c r="L12" i="16"/>
  <c r="L16" i="16"/>
  <c r="L10" i="16"/>
  <c r="L9" i="16"/>
  <c r="H23" i="16"/>
  <c r="J9" i="14"/>
  <c r="J7" i="14"/>
  <c r="J13" i="14"/>
  <c r="U16" i="16"/>
  <c r="U11" i="16"/>
  <c r="U17" i="16"/>
  <c r="U8" i="16"/>
  <c r="U18" i="16"/>
  <c r="E10" i="20"/>
  <c r="F10" i="20" s="1"/>
  <c r="F10" i="19" s="1"/>
  <c r="E11" i="20"/>
  <c r="F11" i="20" s="1"/>
  <c r="F11" i="19"/>
  <c r="E9" i="20"/>
  <c r="F9" i="20" s="1"/>
  <c r="F9" i="19"/>
  <c r="H15" i="14"/>
  <c r="H17" i="17"/>
  <c r="H14" i="16"/>
  <c r="L20" i="18"/>
  <c r="I21" i="14"/>
  <c r="U13" i="19"/>
  <c r="U18" i="19"/>
  <c r="U20" i="19"/>
  <c r="H20" i="14"/>
  <c r="I8" i="14"/>
  <c r="I16" i="14"/>
  <c r="H12" i="17"/>
  <c r="L22" i="18"/>
  <c r="H21" i="18"/>
  <c r="M21" i="18" s="1"/>
  <c r="U12" i="16"/>
  <c r="U22" i="16"/>
  <c r="H13" i="16"/>
  <c r="U7" i="19"/>
  <c r="H22" i="14"/>
  <c r="H16" i="18"/>
  <c r="U9" i="19"/>
  <c r="U19" i="19"/>
  <c r="U8" i="19"/>
  <c r="U12" i="19"/>
  <c r="H9" i="18"/>
  <c r="M9" i="18" s="1"/>
  <c r="H12" i="14"/>
  <c r="U15" i="16"/>
  <c r="I13" i="14"/>
  <c r="I22" i="14"/>
  <c r="H16" i="14"/>
  <c r="L15" i="17"/>
  <c r="L10" i="17"/>
  <c r="L21" i="17"/>
  <c r="L18" i="17"/>
  <c r="L8" i="17"/>
  <c r="L22" i="17"/>
  <c r="L17" i="17"/>
  <c r="L20" i="17"/>
  <c r="L9" i="17"/>
  <c r="L16" i="17"/>
  <c r="L12" i="17"/>
  <c r="L11" i="17"/>
  <c r="L19" i="17"/>
  <c r="L7" i="17"/>
  <c r="L13" i="17"/>
  <c r="L14" i="17"/>
  <c r="H23" i="17"/>
  <c r="L12" i="18"/>
  <c r="L9" i="18"/>
  <c r="L11" i="18"/>
  <c r="M11" i="18"/>
  <c r="M25" i="19"/>
  <c r="U11" i="19"/>
  <c r="H14" i="17"/>
  <c r="H13" i="17"/>
  <c r="M13" i="17" s="1"/>
  <c r="W10" i="16"/>
  <c r="X10" i="16" s="1"/>
  <c r="H11" i="16"/>
  <c r="W13" i="16"/>
  <c r="X13" i="16" s="1"/>
  <c r="H10" i="16"/>
  <c r="M10" i="16" s="1"/>
  <c r="W20" i="16"/>
  <c r="X20" i="16"/>
  <c r="W15" i="16"/>
  <c r="X15" i="16" s="1"/>
  <c r="H22" i="16"/>
  <c r="H16" i="16"/>
  <c r="M16" i="16" s="1"/>
  <c r="H9" i="16"/>
  <c r="M9" i="16" s="1"/>
  <c r="H8" i="17"/>
  <c r="M8" i="17" s="1"/>
  <c r="L14" i="18"/>
  <c r="H9" i="14"/>
  <c r="H7" i="16"/>
  <c r="L17" i="18"/>
  <c r="H21" i="16"/>
  <c r="L15" i="18"/>
  <c r="L19" i="18"/>
  <c r="H14" i="14"/>
  <c r="U15" i="19"/>
  <c r="U10" i="19"/>
  <c r="U16" i="19"/>
  <c r="W17" i="16"/>
  <c r="X17" i="16" s="1"/>
  <c r="H15" i="16"/>
  <c r="H10" i="14"/>
  <c r="M12" i="17"/>
  <c r="M14" i="17"/>
  <c r="M17" i="17"/>
  <c r="R21" i="21"/>
  <c r="AG21" i="21"/>
  <c r="F11" i="15"/>
  <c r="F21" i="15"/>
  <c r="C28" i="15" s="1"/>
  <c r="C26" i="15"/>
  <c r="O6" i="21"/>
  <c r="N5" i="21"/>
  <c r="AE13" i="21"/>
  <c r="AE18" i="21"/>
  <c r="M10" i="21"/>
  <c r="X12" i="19" s="1"/>
  <c r="M16" i="21"/>
  <c r="X18" i="19" s="1"/>
  <c r="AE9" i="21"/>
  <c r="M14" i="21"/>
  <c r="X16" i="19"/>
  <c r="N11" i="21"/>
  <c r="N21" i="21"/>
  <c r="D26" i="21" s="1"/>
  <c r="Q21" i="21"/>
  <c r="H21" i="21"/>
  <c r="C26" i="21" s="1"/>
  <c r="N10" i="21"/>
  <c r="I21" i="21"/>
  <c r="O7" i="21"/>
  <c r="O21" i="21"/>
  <c r="D27" i="21" s="1"/>
  <c r="P11" i="21"/>
  <c r="AE11" i="21" s="1"/>
  <c r="M6" i="21"/>
  <c r="X8" i="19"/>
  <c r="AE6" i="21"/>
  <c r="AE5" i="21"/>
  <c r="M5" i="21"/>
  <c r="X7" i="19" s="1"/>
  <c r="C25" i="15"/>
  <c r="C27" i="15"/>
  <c r="P21" i="21"/>
  <c r="M11" i="21"/>
  <c r="X13" i="19"/>
  <c r="C29" i="15" l="1"/>
  <c r="S21" i="17"/>
  <c r="D21" i="19" s="1"/>
  <c r="N26" i="21"/>
  <c r="M11" i="16"/>
  <c r="M26" i="21"/>
  <c r="J11" i="14"/>
  <c r="J15" i="14"/>
  <c r="J16" i="14"/>
  <c r="J14" i="14"/>
  <c r="J12" i="14"/>
  <c r="J19" i="14"/>
  <c r="J21" i="14"/>
  <c r="J22" i="14"/>
  <c r="W18" i="16"/>
  <c r="X18" i="16" s="1"/>
  <c r="W22" i="16"/>
  <c r="X22" i="16" s="1"/>
  <c r="H18" i="16"/>
  <c r="W7" i="16"/>
  <c r="X7" i="16" s="1"/>
  <c r="W12" i="16"/>
  <c r="X12" i="16" s="1"/>
  <c r="H19" i="16"/>
  <c r="W14" i="16"/>
  <c r="X14" i="16" s="1"/>
  <c r="W8" i="16"/>
  <c r="X8" i="16" s="1"/>
  <c r="H12" i="16"/>
  <c r="M12" i="16" s="1"/>
  <c r="W11" i="16"/>
  <c r="X11" i="16" s="1"/>
  <c r="R20" i="17"/>
  <c r="S20" i="17" s="1"/>
  <c r="D20" i="19" s="1"/>
  <c r="R7" i="17"/>
  <c r="R12" i="17"/>
  <c r="S12" i="17" s="1"/>
  <c r="D12" i="19" s="1"/>
  <c r="R17" i="17"/>
  <c r="S17" i="17" s="1"/>
  <c r="D17" i="19" s="1"/>
  <c r="R11" i="17"/>
  <c r="S11" i="17" s="1"/>
  <c r="D11" i="19" s="1"/>
  <c r="R22" i="17"/>
  <c r="R9" i="17"/>
  <c r="S9" i="17" s="1"/>
  <c r="D9" i="19" s="1"/>
  <c r="R10" i="17"/>
  <c r="H7" i="17"/>
  <c r="M7" i="17" s="1"/>
  <c r="H9" i="17"/>
  <c r="M9" i="17" s="1"/>
  <c r="H22" i="17"/>
  <c r="M22" i="17" s="1"/>
  <c r="H15" i="17"/>
  <c r="M15" i="17" s="1"/>
  <c r="R14" i="17"/>
  <c r="S14" i="17" s="1"/>
  <c r="D14" i="19" s="1"/>
  <c r="J10" i="14"/>
  <c r="H20" i="17"/>
  <c r="M20" i="17" s="1"/>
  <c r="B24" i="16"/>
  <c r="H18" i="17"/>
  <c r="M18" i="17" s="1"/>
  <c r="H21" i="17"/>
  <c r="M21" i="17" s="1"/>
  <c r="W21" i="16"/>
  <c r="X21" i="16" s="1"/>
  <c r="J8" i="14"/>
  <c r="R13" i="17"/>
  <c r="S13" i="17" s="1"/>
  <c r="D13" i="19" s="1"/>
  <c r="H8" i="16"/>
  <c r="M8" i="16" s="1"/>
  <c r="J17" i="14"/>
  <c r="L17" i="16"/>
  <c r="M17" i="16" s="1"/>
  <c r="J20" i="14"/>
  <c r="I23" i="14"/>
  <c r="I12" i="14"/>
  <c r="I14" i="14"/>
  <c r="I7" i="14"/>
  <c r="I15" i="14"/>
  <c r="I10" i="14"/>
  <c r="I9" i="14"/>
  <c r="I18" i="14"/>
  <c r="L7" i="16"/>
  <c r="M7" i="16" s="1"/>
  <c r="L14" i="16"/>
  <c r="M14" i="16" s="1"/>
  <c r="L11" i="16"/>
  <c r="L15" i="16"/>
  <c r="M15" i="16" s="1"/>
  <c r="L13" i="16"/>
  <c r="M13" i="16" s="1"/>
  <c r="L21" i="16"/>
  <c r="M21" i="16" s="1"/>
  <c r="L8" i="16"/>
  <c r="L20" i="16"/>
  <c r="I19" i="14"/>
  <c r="M19" i="21"/>
  <c r="X21" i="19" s="1"/>
  <c r="AE19" i="21"/>
  <c r="W9" i="16"/>
  <c r="X9" i="16" s="1"/>
  <c r="W16" i="16"/>
  <c r="X16" i="16" s="1"/>
  <c r="H16" i="17"/>
  <c r="M16" i="17" s="1"/>
  <c r="H19" i="17"/>
  <c r="M19" i="17" s="1"/>
  <c r="S19" i="17" s="1"/>
  <c r="D19" i="19" s="1"/>
  <c r="I20" i="14"/>
  <c r="R16" i="17"/>
  <c r="S16" i="17" s="1"/>
  <c r="D16" i="19" s="1"/>
  <c r="R8" i="17"/>
  <c r="S8" i="17" s="1"/>
  <c r="D8" i="19" s="1"/>
  <c r="H20" i="16"/>
  <c r="M20" i="16" s="1"/>
  <c r="R18" i="17"/>
  <c r="J23" i="14"/>
  <c r="L19" i="16"/>
  <c r="L18" i="16"/>
  <c r="H10" i="17"/>
  <c r="M10" i="17" s="1"/>
  <c r="R15" i="17"/>
  <c r="O23" i="16"/>
  <c r="W19" i="16"/>
  <c r="X19" i="16" s="1"/>
  <c r="H7" i="18"/>
  <c r="M7" i="18" s="1"/>
  <c r="H19" i="18"/>
  <c r="M19" i="18" s="1"/>
  <c r="I11" i="14"/>
  <c r="H18" i="18"/>
  <c r="M18" i="18" s="1"/>
  <c r="H20" i="18"/>
  <c r="M20" i="18" s="1"/>
  <c r="H15" i="18"/>
  <c r="M15" i="18" s="1"/>
  <c r="H18" i="14"/>
  <c r="H10" i="18"/>
  <c r="M10" i="18" s="1"/>
  <c r="U23" i="16"/>
  <c r="U21" i="16"/>
  <c r="U20" i="16"/>
  <c r="AE12" i="21"/>
  <c r="M12" i="21"/>
  <c r="H8" i="14"/>
  <c r="U10" i="16"/>
  <c r="H23" i="18"/>
  <c r="U9" i="16"/>
  <c r="H8" i="18"/>
  <c r="U13" i="16"/>
  <c r="U14" i="16"/>
  <c r="H11" i="14"/>
  <c r="H7" i="14"/>
  <c r="H22" i="18"/>
  <c r="M22" i="18" s="1"/>
  <c r="U22" i="19"/>
  <c r="U17" i="19"/>
  <c r="U23" i="19" s="1"/>
  <c r="U21" i="19"/>
  <c r="H17" i="18"/>
  <c r="M17" i="18" s="1"/>
  <c r="E14" i="20"/>
  <c r="F14" i="20" s="1"/>
  <c r="F14" i="19" s="1"/>
  <c r="L8" i="18"/>
  <c r="E12" i="20"/>
  <c r="E17" i="20"/>
  <c r="F17" i="20" s="1"/>
  <c r="F17" i="19" s="1"/>
  <c r="AE7" i="21"/>
  <c r="AE21" i="21" s="1"/>
  <c r="V16" i="19" l="1"/>
  <c r="V9" i="19"/>
  <c r="V8" i="19"/>
  <c r="V18" i="19"/>
  <c r="V11" i="19"/>
  <c r="V14" i="19"/>
  <c r="V20" i="19"/>
  <c r="V15" i="19"/>
  <c r="V10" i="19"/>
  <c r="V19" i="19"/>
  <c r="V12" i="19"/>
  <c r="V13" i="19"/>
  <c r="V7" i="19"/>
  <c r="V14" i="16"/>
  <c r="C14" i="19" s="1"/>
  <c r="S18" i="17"/>
  <c r="D18" i="19" s="1"/>
  <c r="X14" i="19"/>
  <c r="M21" i="21"/>
  <c r="V22" i="19"/>
  <c r="N10" i="18"/>
  <c r="E10" i="19" s="1"/>
  <c r="R13" i="16"/>
  <c r="N13" i="18" s="1"/>
  <c r="E13" i="19" s="1"/>
  <c r="R8" i="16"/>
  <c r="V8" i="16" s="1"/>
  <c r="C8" i="19" s="1"/>
  <c r="R15" i="16"/>
  <c r="V15" i="16" s="1"/>
  <c r="C15" i="19" s="1"/>
  <c r="R9" i="16"/>
  <c r="N9" i="18" s="1"/>
  <c r="E9" i="19" s="1"/>
  <c r="R20" i="16"/>
  <c r="V20" i="16" s="1"/>
  <c r="C20" i="19" s="1"/>
  <c r="R16" i="16"/>
  <c r="R10" i="16"/>
  <c r="R12" i="16"/>
  <c r="R17" i="16"/>
  <c r="V17" i="16" s="1"/>
  <c r="C17" i="19" s="1"/>
  <c r="R19" i="16"/>
  <c r="V19" i="16" s="1"/>
  <c r="C19" i="19" s="1"/>
  <c r="R21" i="16"/>
  <c r="N21" i="18" s="1"/>
  <c r="E21" i="19" s="1"/>
  <c r="R11" i="16"/>
  <c r="R7" i="16"/>
  <c r="V7" i="16" s="1"/>
  <c r="R18" i="16"/>
  <c r="V18" i="16" s="1"/>
  <c r="C18" i="19" s="1"/>
  <c r="R14" i="16"/>
  <c r="N14" i="18" s="1"/>
  <c r="E14" i="19" s="1"/>
  <c r="R22" i="16"/>
  <c r="V22" i="16" s="1"/>
  <c r="C22" i="19" s="1"/>
  <c r="S10" i="17"/>
  <c r="D10" i="19" s="1"/>
  <c r="N17" i="18"/>
  <c r="E17" i="19" s="1"/>
  <c r="M18" i="16"/>
  <c r="V17" i="19"/>
  <c r="N7" i="18"/>
  <c r="G17" i="19"/>
  <c r="V10" i="16"/>
  <c r="C10" i="19" s="1"/>
  <c r="E23" i="20"/>
  <c r="F23" i="20" s="1"/>
  <c r="F23" i="19" s="1"/>
  <c r="F12" i="20"/>
  <c r="F12" i="19" s="1"/>
  <c r="G12" i="19" s="1"/>
  <c r="V21" i="19"/>
  <c r="M8" i="18"/>
  <c r="V21" i="16"/>
  <c r="C21" i="19" s="1"/>
  <c r="N15" i="18"/>
  <c r="E15" i="19" s="1"/>
  <c r="S15" i="17"/>
  <c r="D15" i="19" s="1"/>
  <c r="S22" i="17"/>
  <c r="D22" i="19" s="1"/>
  <c r="S7" i="17"/>
  <c r="M19" i="16"/>
  <c r="F11" i="13" l="1"/>
  <c r="G11" i="13" s="1"/>
  <c r="B11" i="21"/>
  <c r="G13" i="14"/>
  <c r="F16" i="13"/>
  <c r="G16" i="13" s="1"/>
  <c r="G18" i="14"/>
  <c r="B16" i="21"/>
  <c r="N20" i="18"/>
  <c r="E20" i="19" s="1"/>
  <c r="V16" i="16"/>
  <c r="C16" i="19" s="1"/>
  <c r="N16" i="18"/>
  <c r="E16" i="19" s="1"/>
  <c r="C27" i="21"/>
  <c r="C28" i="21" s="1"/>
  <c r="L26" i="21"/>
  <c r="D25" i="21"/>
  <c r="D28" i="21" s="1"/>
  <c r="G15" i="14"/>
  <c r="F13" i="13"/>
  <c r="G13" i="13" s="1"/>
  <c r="B13" i="21"/>
  <c r="B19" i="21"/>
  <c r="F19" i="13"/>
  <c r="G19" i="13" s="1"/>
  <c r="G21" i="14"/>
  <c r="E7" i="19"/>
  <c r="C7" i="19"/>
  <c r="X23" i="19"/>
  <c r="X26" i="19"/>
  <c r="B10" i="21"/>
  <c r="F10" i="13"/>
  <c r="G10" i="13" s="1"/>
  <c r="G12" i="14"/>
  <c r="B18" i="21"/>
  <c r="F18" i="13"/>
  <c r="G18" i="13" s="1"/>
  <c r="G20" i="14"/>
  <c r="B6" i="21"/>
  <c r="G8" i="14"/>
  <c r="F6" i="13"/>
  <c r="G6" i="13" s="1"/>
  <c r="D7" i="19"/>
  <c r="S23" i="17"/>
  <c r="D23" i="19" s="1"/>
  <c r="I15" i="19"/>
  <c r="N18" i="18"/>
  <c r="E18" i="19" s="1"/>
  <c r="F15" i="13"/>
  <c r="G15" i="13" s="1"/>
  <c r="B15" i="21"/>
  <c r="G17" i="14"/>
  <c r="V11" i="16"/>
  <c r="C11" i="19" s="1"/>
  <c r="N11" i="18"/>
  <c r="E11" i="19" s="1"/>
  <c r="V12" i="16"/>
  <c r="C12" i="19" s="1"/>
  <c r="N12" i="18"/>
  <c r="E12" i="19" s="1"/>
  <c r="G19" i="14"/>
  <c r="B17" i="21"/>
  <c r="F17" i="13"/>
  <c r="G17" i="13" s="1"/>
  <c r="G14" i="14"/>
  <c r="B12" i="21"/>
  <c r="F12" i="13"/>
  <c r="G12" i="13" s="1"/>
  <c r="B7" i="21"/>
  <c r="G9" i="14"/>
  <c r="F7" i="13"/>
  <c r="G7" i="13" s="1"/>
  <c r="I22" i="19"/>
  <c r="N19" i="18"/>
  <c r="E19" i="19" s="1"/>
  <c r="N8" i="18"/>
  <c r="E8" i="19" s="1"/>
  <c r="G15" i="19"/>
  <c r="G18" i="19"/>
  <c r="G21" i="19"/>
  <c r="G22" i="19"/>
  <c r="G8" i="19"/>
  <c r="G19" i="19"/>
  <c r="G9" i="19"/>
  <c r="G11" i="19"/>
  <c r="G16" i="19"/>
  <c r="G20" i="19"/>
  <c r="G7" i="19"/>
  <c r="G10" i="19"/>
  <c r="G13" i="19"/>
  <c r="N22" i="18"/>
  <c r="E22" i="19" s="1"/>
  <c r="G14" i="19"/>
  <c r="V13" i="16"/>
  <c r="C13" i="19" s="1"/>
  <c r="G22" i="14"/>
  <c r="F20" i="13"/>
  <c r="G20" i="13" s="1"/>
  <c r="B20" i="21"/>
  <c r="I18" i="19"/>
  <c r="V9" i="16"/>
  <c r="C9" i="19" s="1"/>
  <c r="G7" i="14"/>
  <c r="F5" i="13"/>
  <c r="B5" i="21"/>
  <c r="B21" i="21" s="1"/>
  <c r="V24" i="19"/>
  <c r="B8" i="21"/>
  <c r="G10" i="14"/>
  <c r="F8" i="13"/>
  <c r="G8" i="13" s="1"/>
  <c r="G11" i="14"/>
  <c r="B9" i="21"/>
  <c r="F9" i="13"/>
  <c r="G9" i="13" s="1"/>
  <c r="G16" i="14"/>
  <c r="B14" i="21"/>
  <c r="F14" i="13"/>
  <c r="G14" i="13" s="1"/>
  <c r="K8" i="14" l="1"/>
  <c r="V23" i="16"/>
  <c r="C23" i="19" s="1"/>
  <c r="J16" i="19"/>
  <c r="K13" i="14"/>
  <c r="G23" i="19"/>
  <c r="J22" i="19"/>
  <c r="J12" i="19"/>
  <c r="J18" i="19"/>
  <c r="I21" i="19"/>
  <c r="I19" i="19"/>
  <c r="I16" i="19"/>
  <c r="I20" i="19"/>
  <c r="I12" i="19"/>
  <c r="I17" i="19"/>
  <c r="I8" i="19"/>
  <c r="I14" i="19"/>
  <c r="I11" i="19"/>
  <c r="I9" i="19"/>
  <c r="I13" i="19"/>
  <c r="K12" i="14"/>
  <c r="J7" i="19"/>
  <c r="J20" i="19"/>
  <c r="K16" i="14"/>
  <c r="G5" i="13"/>
  <c r="G21" i="13" s="1"/>
  <c r="F21" i="13"/>
  <c r="C28" i="13" s="1"/>
  <c r="K19" i="14"/>
  <c r="K17" i="14"/>
  <c r="I7" i="19"/>
  <c r="K20" i="14"/>
  <c r="N23" i="18"/>
  <c r="E23" i="19" s="1"/>
  <c r="K18" i="14"/>
  <c r="G23" i="14"/>
  <c r="K23" i="14" s="1"/>
  <c r="K7" i="14"/>
  <c r="K11" i="14"/>
  <c r="H9" i="19"/>
  <c r="K22" i="14"/>
  <c r="J8" i="19"/>
  <c r="K9" i="14"/>
  <c r="K14" i="14"/>
  <c r="J11" i="19"/>
  <c r="K21" i="14"/>
  <c r="I10" i="19"/>
  <c r="H20" i="19" l="1"/>
  <c r="K20" i="19" s="1"/>
  <c r="O20" i="19" s="1"/>
  <c r="H14" i="19"/>
  <c r="H15" i="19"/>
  <c r="H19" i="19"/>
  <c r="K19" i="19" s="1"/>
  <c r="O19" i="19" s="1"/>
  <c r="H17" i="19"/>
  <c r="K17" i="19" s="1"/>
  <c r="O17" i="19" s="1"/>
  <c r="H10" i="19"/>
  <c r="H18" i="19"/>
  <c r="K18" i="19" s="1"/>
  <c r="O18" i="19" s="1"/>
  <c r="H22" i="19"/>
  <c r="K22" i="19" s="1"/>
  <c r="O22" i="19" s="1"/>
  <c r="H8" i="19"/>
  <c r="K8" i="19" s="1"/>
  <c r="O8" i="19" s="1"/>
  <c r="H21" i="19"/>
  <c r="I23" i="19"/>
  <c r="H7" i="19"/>
  <c r="H13" i="19"/>
  <c r="K13" i="19" s="1"/>
  <c r="O13" i="19" s="1"/>
  <c r="C27" i="13"/>
  <c r="C25" i="13"/>
  <c r="C26" i="13"/>
  <c r="M7" i="19"/>
  <c r="H11" i="19"/>
  <c r="K11" i="19" s="1"/>
  <c r="O11" i="19" s="1"/>
  <c r="J17" i="19"/>
  <c r="J10" i="19"/>
  <c r="J14" i="19"/>
  <c r="J13" i="19"/>
  <c r="J21" i="19"/>
  <c r="J9" i="19"/>
  <c r="K9" i="19" s="1"/>
  <c r="O9" i="19" s="1"/>
  <c r="J15" i="19"/>
  <c r="H12" i="19"/>
  <c r="K12" i="19" s="1"/>
  <c r="O12" i="19" s="1"/>
  <c r="K10" i="14"/>
  <c r="H16" i="19"/>
  <c r="K16" i="19" s="1"/>
  <c r="O16" i="19" s="1"/>
  <c r="K15" i="14"/>
  <c r="J19" i="19"/>
  <c r="H23" i="19" l="1"/>
  <c r="K7" i="19"/>
  <c r="J23" i="19"/>
  <c r="K21" i="19"/>
  <c r="O21" i="19" s="1"/>
  <c r="K10" i="19"/>
  <c r="O10" i="19" s="1"/>
  <c r="K14" i="19"/>
  <c r="O14" i="19" s="1"/>
  <c r="M8" i="19"/>
  <c r="L12" i="14"/>
  <c r="L12" i="19" s="1"/>
  <c r="L17" i="14"/>
  <c r="L17" i="19" s="1"/>
  <c r="L10" i="14"/>
  <c r="L10" i="19" s="1"/>
  <c r="L13" i="14"/>
  <c r="L13" i="19" s="1"/>
  <c r="L14" i="14"/>
  <c r="L14" i="19" s="1"/>
  <c r="L21" i="14"/>
  <c r="L21" i="19" s="1"/>
  <c r="L22" i="14"/>
  <c r="L22" i="19" s="1"/>
  <c r="L19" i="14"/>
  <c r="L19" i="19" s="1"/>
  <c r="C29" i="13"/>
  <c r="L23" i="14"/>
  <c r="L23" i="19" s="1"/>
  <c r="L20" i="14"/>
  <c r="L20" i="19" s="1"/>
  <c r="L16" i="14"/>
  <c r="L16" i="19" s="1"/>
  <c r="L9" i="14"/>
  <c r="L9" i="19" s="1"/>
  <c r="L15" i="14"/>
  <c r="L15" i="19" s="1"/>
  <c r="L11" i="14"/>
  <c r="L11" i="19" s="1"/>
  <c r="L7" i="14"/>
  <c r="L7" i="19" s="1"/>
  <c r="N7" i="19" s="1"/>
  <c r="L8" i="14"/>
  <c r="L8" i="19" s="1"/>
  <c r="L18" i="14"/>
  <c r="L18" i="19" s="1"/>
  <c r="K15" i="19"/>
  <c r="O15" i="19" s="1"/>
  <c r="N8" i="19" l="1"/>
  <c r="P8" i="19" s="1"/>
  <c r="M9" i="19"/>
  <c r="O7" i="19"/>
  <c r="P7" i="19" s="1"/>
  <c r="K23" i="19"/>
  <c r="O23" i="19" s="1"/>
  <c r="R8" i="19" l="1"/>
  <c r="R7" i="19"/>
  <c r="M10" i="19"/>
  <c r="N9" i="19"/>
  <c r="P9" i="19" s="1"/>
  <c r="R9" i="19" l="1"/>
  <c r="N10" i="19"/>
  <c r="P10" i="19" s="1"/>
  <c r="M11" i="19"/>
  <c r="F6" i="21"/>
  <c r="W8" i="19"/>
  <c r="W7" i="19"/>
  <c r="F5" i="21"/>
  <c r="R10" i="19" l="1"/>
  <c r="M12" i="19"/>
  <c r="N11" i="19"/>
  <c r="P11" i="19"/>
  <c r="F7" i="21"/>
  <c r="W9" i="19"/>
  <c r="N12" i="19" l="1"/>
  <c r="M13" i="19"/>
  <c r="P12" i="19"/>
  <c r="R11" i="19"/>
  <c r="F8" i="21"/>
  <c r="W10" i="19"/>
  <c r="M14" i="19" l="1"/>
  <c r="N13" i="19"/>
  <c r="P13" i="19"/>
  <c r="R12" i="19"/>
  <c r="F9" i="21"/>
  <c r="W11" i="19"/>
  <c r="N14" i="19" l="1"/>
  <c r="P14" i="19" s="1"/>
  <c r="M15" i="19"/>
  <c r="W12" i="19"/>
  <c r="F10" i="21"/>
  <c r="R13" i="19"/>
  <c r="R14" i="19" l="1"/>
  <c r="N15" i="19"/>
  <c r="P15" i="19" s="1"/>
  <c r="M16" i="19"/>
  <c r="M21" i="19"/>
  <c r="F11" i="21"/>
  <c r="W13" i="19"/>
  <c r="R15" i="19" l="1"/>
  <c r="N21" i="19"/>
  <c r="P21" i="19" s="1"/>
  <c r="M22" i="19"/>
  <c r="W14" i="19"/>
  <c r="F12" i="21"/>
  <c r="M17" i="19"/>
  <c r="N16" i="19"/>
  <c r="P16" i="19" s="1"/>
  <c r="R16" i="19" l="1"/>
  <c r="R21" i="19"/>
  <c r="M18" i="19"/>
  <c r="N17" i="19"/>
  <c r="P17" i="19" s="1"/>
  <c r="F13" i="21"/>
  <c r="W15" i="19"/>
  <c r="N22" i="19"/>
  <c r="P22" i="19"/>
  <c r="M23" i="19"/>
  <c r="N23" i="19" s="1"/>
  <c r="R17" i="19" l="1"/>
  <c r="R22" i="19"/>
  <c r="F19" i="21"/>
  <c r="W21" i="19"/>
  <c r="M19" i="19"/>
  <c r="N18" i="19"/>
  <c r="P18" i="19"/>
  <c r="W16" i="19"/>
  <c r="F14" i="21"/>
  <c r="M20" i="19" l="1"/>
  <c r="N19" i="19"/>
  <c r="P19" i="19" s="1"/>
  <c r="F20" i="21"/>
  <c r="W22" i="19"/>
  <c r="R18" i="19"/>
  <c r="W17" i="19"/>
  <c r="F15" i="21"/>
  <c r="R19" i="19" l="1"/>
  <c r="F16" i="21"/>
  <c r="W18" i="19"/>
  <c r="N20" i="19"/>
  <c r="P20" i="19" s="1"/>
  <c r="R20" i="19" l="1"/>
  <c r="P23" i="19"/>
  <c r="W19" i="19"/>
  <c r="F17" i="21"/>
  <c r="Q23" i="19" l="1"/>
  <c r="Q8" i="19"/>
  <c r="Q7" i="19"/>
  <c r="Q9" i="19"/>
  <c r="Q10" i="19"/>
  <c r="Q11" i="19"/>
  <c r="Q12" i="19"/>
  <c r="Q13" i="19"/>
  <c r="Q14" i="19"/>
  <c r="Q15" i="19"/>
  <c r="Q16" i="19"/>
  <c r="Q21" i="19"/>
  <c r="Q17" i="19"/>
  <c r="Q22" i="19"/>
  <c r="Q18" i="19"/>
  <c r="Q19" i="19"/>
  <c r="W20" i="19"/>
  <c r="W23" i="19" s="1"/>
  <c r="F18" i="21"/>
  <c r="F21" i="21" s="1"/>
  <c r="R23" i="19"/>
  <c r="Q20" i="19"/>
</calcChain>
</file>

<file path=xl/sharedStrings.xml><?xml version="1.0" encoding="utf-8"?>
<sst xmlns="http://schemas.openxmlformats.org/spreadsheetml/2006/main" count="427" uniqueCount="179">
  <si>
    <t>Ni</t>
  </si>
  <si>
    <t>d(РФФПП)i</t>
  </si>
  <si>
    <t>N'i</t>
  </si>
  <si>
    <t>Индекс бюджетных расходов по отрасли "Местное самоуправление"</t>
  </si>
  <si>
    <t>ИБРмсу(i)</t>
  </si>
  <si>
    <t>ИБРбу(i)</t>
  </si>
  <si>
    <t>ИБРпроч(i)</t>
  </si>
  <si>
    <t>а</t>
  </si>
  <si>
    <t>b</t>
  </si>
  <si>
    <t>Кудi</t>
  </si>
  <si>
    <t>Кстр(бу)i</t>
  </si>
  <si>
    <t>Индекс бюджетных расходов по содержанию объектов внешнего благоустройства</t>
  </si>
  <si>
    <t>Улi</t>
  </si>
  <si>
    <t>Протяжённость улично-дорожной сети для проезда транзитного транспорта, находящиеся в ведении поселения</t>
  </si>
  <si>
    <t>Дтi</t>
  </si>
  <si>
    <t>Дорi</t>
  </si>
  <si>
    <t>Коэффициент удорожания</t>
  </si>
  <si>
    <t>Ктдi</t>
  </si>
  <si>
    <t>Коэффициент дисперсности</t>
  </si>
  <si>
    <t>Кдисi</t>
  </si>
  <si>
    <t>Si</t>
  </si>
  <si>
    <t>ni</t>
  </si>
  <si>
    <t>Кстр(мсу)i</t>
  </si>
  <si>
    <t>Vi</t>
  </si>
  <si>
    <t>d</t>
  </si>
  <si>
    <t>Поправочный коэффициент на структуру спроса по содержанию объектов внешнего благоустройства</t>
  </si>
  <si>
    <t>х</t>
  </si>
  <si>
    <t>Дата статистики</t>
  </si>
  <si>
    <t>Единицы измерения</t>
  </si>
  <si>
    <t>Обозначение</t>
  </si>
  <si>
    <t xml:space="preserve">Наименование муниципального образования </t>
  </si>
  <si>
    <t>Итого</t>
  </si>
  <si>
    <t>га</t>
  </si>
  <si>
    <t>км.</t>
  </si>
  <si>
    <t>человек</t>
  </si>
  <si>
    <t>Исходные данные, используемые для расчета дотаций из районного фонда финансовой поддержки поселений</t>
  </si>
  <si>
    <t xml:space="preserve">Численность постоянного населения </t>
  </si>
  <si>
    <t>Фактическое поступление налога на доходы физических лиц</t>
  </si>
  <si>
    <t>Фактическое поступление налога на имущество физических лиц</t>
  </si>
  <si>
    <t>тыс. рублей</t>
  </si>
  <si>
    <t>Фактическое поступление арендной платы за землю</t>
  </si>
  <si>
    <t xml:space="preserve">Итого прогноз поступлений </t>
  </si>
  <si>
    <t>Налог на доходы физических лиц</t>
  </si>
  <si>
    <t>Налог на имущество физических лиц</t>
  </si>
  <si>
    <t>Земельный налог</t>
  </si>
  <si>
    <t>Арендная плата за землю</t>
  </si>
  <si>
    <t>Земельный налог и арендная плата за землю</t>
  </si>
  <si>
    <t>Доли поступлений по соответствующим налогам и платежам</t>
  </si>
  <si>
    <t xml:space="preserve">Доля </t>
  </si>
  <si>
    <t>c</t>
  </si>
  <si>
    <t>Расчет индекса налогового потенциала поселений</t>
  </si>
  <si>
    <t>Фндфл</t>
  </si>
  <si>
    <t>Фифл</t>
  </si>
  <si>
    <t>Фзн</t>
  </si>
  <si>
    <t>Фапз</t>
  </si>
  <si>
    <t>Di</t>
  </si>
  <si>
    <t xml:space="preserve">Дотация за счет субвенции из краевого бюджета на выравнивание бюджетной обеспеченности поселений </t>
  </si>
  <si>
    <t>ИНПндфл</t>
  </si>
  <si>
    <t>Фнифл</t>
  </si>
  <si>
    <t>ИНПнифл</t>
  </si>
  <si>
    <t>ИНПземля</t>
  </si>
  <si>
    <t>НДФЛ</t>
  </si>
  <si>
    <t>НИФЛ</t>
  </si>
  <si>
    <t>ЗЕМЛЯ</t>
  </si>
  <si>
    <t>ИНП общий</t>
  </si>
  <si>
    <t>Доля дотации за счет субвенции из краевого бюджета</t>
  </si>
  <si>
    <t>ИНП</t>
  </si>
  <si>
    <t>ИНДЕКС НАЛОГОВОГО ПОТЕНЦИАЛА</t>
  </si>
  <si>
    <t>Доли расходов</t>
  </si>
  <si>
    <t>Местное самоуправление</t>
  </si>
  <si>
    <t>Благоустройство</t>
  </si>
  <si>
    <t xml:space="preserve">Итого </t>
  </si>
  <si>
    <t>Прочие расходы</t>
  </si>
  <si>
    <t xml:space="preserve">Прогноз расходов бюджетов поселений </t>
  </si>
  <si>
    <t>Площадь территории поселения</t>
  </si>
  <si>
    <t>Численность сельского поселения</t>
  </si>
  <si>
    <t xml:space="preserve">Протяжённость улично-дорожной сети (включая проезды, площади) находящиеся в ведении поселения </t>
  </si>
  <si>
    <t>Протяжённость автомобильных дорог общего пользования муниципального значения поселения</t>
  </si>
  <si>
    <t>Удаленность от районного центра</t>
  </si>
  <si>
    <t>Количество населенных пунктов, входящих в состав поселения</t>
  </si>
  <si>
    <t>Протяженность автозимников, находящихся в ведении поселений муниципального района</t>
  </si>
  <si>
    <t>Площадь территории</t>
  </si>
  <si>
    <t xml:space="preserve">Расчет коэффициента удорожания </t>
  </si>
  <si>
    <t>Коэффициент транспортной доступности</t>
  </si>
  <si>
    <t>ТД</t>
  </si>
  <si>
    <t>Наличие автомобильного сообщения с районным центром</t>
  </si>
  <si>
    <t>Весовой коэффициент влияния фактора дисперсности расселения*</t>
  </si>
  <si>
    <t>Весовой коэффициент влияния транспортной доступности поселения*</t>
  </si>
  <si>
    <t>Весовой коэффициент влияния фактора труднодоступности поселения**</t>
  </si>
  <si>
    <t>Поправочный коэффициент на структуру спроса по отрасли "Местное самоуправление"</t>
  </si>
  <si>
    <t>a</t>
  </si>
  <si>
    <t>Доля сельского населения</t>
  </si>
  <si>
    <t>Расчет поправочного коэффициента на структуру спроса по отрасли "Местное самоуправление"</t>
  </si>
  <si>
    <t>Поправочный коэффициент, учитывающий относительное увеличение спроса по отрасли "Местное самоуправление" со стороны населения, проживающего в сельских поселениях**</t>
  </si>
  <si>
    <t>Расчет индекса бюджетных расходов по отрасли "Местное самоуправление"</t>
  </si>
  <si>
    <t>Расчет индекса бюджетных расходов по содержанию объектов внешнего благоустройства</t>
  </si>
  <si>
    <t>Расчет поправочного коэффициента на структуру спроса по содержанию объектов внешнего благоустройства</t>
  </si>
  <si>
    <t>Азимi</t>
  </si>
  <si>
    <t>Расчет индекса бюджетных расходов по прочим отраслям</t>
  </si>
  <si>
    <t>Индекс бюджетных расходов по прочим отраслям</t>
  </si>
  <si>
    <t>Расчет индекса бюджетных расходов, бюджетной обеспеченности, объема дотации</t>
  </si>
  <si>
    <t>Нормирование индексов бюджетных расходов</t>
  </si>
  <si>
    <t>по отрасли "Местное самоуправление"</t>
  </si>
  <si>
    <t>по содержанию объектов внешнего благоустройства</t>
  </si>
  <si>
    <t>по прочим отраслям</t>
  </si>
  <si>
    <t>Сводный индекс бюджетных расходов</t>
  </si>
  <si>
    <t>Индекс налогового потенциала</t>
  </si>
  <si>
    <t>ИНПi</t>
  </si>
  <si>
    <t>ИБРi</t>
  </si>
  <si>
    <t>Бюджетная обеспеченность средняя</t>
  </si>
  <si>
    <t>Бюджетная обеспеченность</t>
  </si>
  <si>
    <t>Боi</t>
  </si>
  <si>
    <t>Численность условных потребителей</t>
  </si>
  <si>
    <t>Объем дотации</t>
  </si>
  <si>
    <t>Необходимо для выравнивания до средней БО</t>
  </si>
  <si>
    <t>БОср</t>
  </si>
  <si>
    <t>Доля дотации</t>
  </si>
  <si>
    <t>Км</t>
  </si>
  <si>
    <t>Культура</t>
  </si>
  <si>
    <t>Расходы на коммунальные услуги учреждений</t>
  </si>
  <si>
    <t>Прогноз расходов всего</t>
  </si>
  <si>
    <t>Индекс бюджетных расходов по отрасли культуры</t>
  </si>
  <si>
    <t>ИБРкульт(i)</t>
  </si>
  <si>
    <t>Индекс бюджетных расходов по  отрасли культура</t>
  </si>
  <si>
    <t xml:space="preserve">Расчет индекса бюджетных расходов по отрасли культура </t>
  </si>
  <si>
    <t>Коэффициент предоставления коммунальных услуг</t>
  </si>
  <si>
    <t xml:space="preserve">Дотации за счет субвенции (КФФПП) </t>
  </si>
  <si>
    <t>Расчет дотации за счет субвенции (КФФПП)</t>
  </si>
  <si>
    <t>Промежуточные расчеты</t>
  </si>
  <si>
    <t>Дотации за счет субвенции из РФФПП</t>
  </si>
  <si>
    <t>Расчет коэффициента предоставления коммунальных услуг бюджетным учреждениям по отрасли "Местное самоуправление"</t>
  </si>
  <si>
    <t>Средняя численность населения в поселениях муниципального района</t>
  </si>
  <si>
    <t>Расчет коэффициента предоставления коммунальных услуг бюджетным учреждениям по отрасли "Культура"</t>
  </si>
  <si>
    <t>- установленный муниципальным районом уровень выравнивания</t>
  </si>
  <si>
    <t>тыс.рублей</t>
  </si>
  <si>
    <t>плотность населения</t>
  </si>
  <si>
    <t>Коэффициент масштаба (используется в расчете ИБР_прочие)</t>
  </si>
  <si>
    <t>коэффициент, обраnный плотности населения</t>
  </si>
  <si>
    <t>дотациина сбалансированность</t>
  </si>
  <si>
    <t>дефицит</t>
  </si>
  <si>
    <t>Кадастровая стоимость земельных участков</t>
  </si>
  <si>
    <t>Кадастровая стоимость находящихся на территории муниципального образования участков земли, облагаемых земельным налогом</t>
  </si>
  <si>
    <t>КОСЗi</t>
  </si>
  <si>
    <t>Наименование поселений</t>
  </si>
  <si>
    <t>Дотация на выравнивание бюджетной обеспеченности поселений за счет краевого бюджета</t>
  </si>
  <si>
    <t>Дотация на выравнивание бюджетной обеспеченности поселений за счет районного бюджета</t>
  </si>
  <si>
    <t xml:space="preserve">Налоговые и неналоговые доходы бюджетов </t>
  </si>
  <si>
    <t>Дотация на сбалансированность поселений</t>
  </si>
  <si>
    <t>воинский учет</t>
  </si>
  <si>
    <t>админ. комиссии</t>
  </si>
  <si>
    <t>аккарицидные обработки</t>
  </si>
  <si>
    <t>Дороги краевые</t>
  </si>
  <si>
    <t>Расходы поселений с учетом краевых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</si>
  <si>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</si>
  <si>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</si>
  <si>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</si>
  <si>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</si>
  <si>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</si>
  <si>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</si>
  <si>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</si>
  <si>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</si>
  <si>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</si>
  <si>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</si>
  <si>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</si>
  <si>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</si>
  <si>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</si>
  <si>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</si>
  <si>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</si>
  <si>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</si>
  <si>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</si>
  <si>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Налоговые и неналоговые доходы бюджетов на 2017</t>
  </si>
  <si>
    <t>Расходы поселений всего без  учета краевых</t>
  </si>
  <si>
    <t xml:space="preserve">Прогноз поступлений налоговых доходов в бюджеты поселений в 2016 году, участвующих в расчете индекса налогового потенциала поселения </t>
  </si>
  <si>
    <t>Налоговые и неналоговые доходы бюджетов на 2018</t>
  </si>
  <si>
    <t>2017</t>
  </si>
  <si>
    <t>01.01.2015</t>
  </si>
  <si>
    <t xml:space="preserve">Налоговые и неналоговые доходы бюджетов на 2017 год </t>
  </si>
  <si>
    <t xml:space="preserve">Налоговые и неналоговые доходы бюджетов в 2015 году </t>
  </si>
  <si>
    <t>Налоговые и неналоговые доходы бюджетов на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</si>
</sst>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9" formatCode="_(* #,##0.00_);_(* \(#,##0.00\);_(* &quot;-&quot;??_);_(@_)"/>
    <numFmt numFmtId="181" formatCode="0.0000"/>
    <numFmt numFmtId="182" formatCode="0.000"/>
    <numFmt numFmtId="183" formatCode="0.0"/>
    <numFmt numFmtId="187" formatCode="#,##0.0"/>
    <numFmt numFmtId="189" formatCode="#,##0.000"/>
    <numFmt numFmtId="190" formatCode="#,##0.0000"/>
    <numFmt numFmtId="194" formatCode="#,##0.000_р_."/>
    <numFmt numFmtId="196" formatCode="_(* #,##0.0_);_(* \(#,##0.0\);_(* &quot;-&quot;??_);_(@_)"/>
    <numFmt numFmtId="198" formatCode="#,##0.00_р_."/>
  </numFmts>
  <fonts count="15" x14ac:knownFonts="1">
    <font>
      <sz val="10"/>
      <name val="Arial"/>
    </font>
    <font>
      <sz val="10"/>
      <name val="Arial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79" fontId="1" fillId="0" borderId="0" applyFont="0" applyFill="0" applyBorder="0" applyAlignment="0" applyProtection="0"/>
  </cellStyleXfs>
  <cellXfs count="226">
    <xf numFmtId="0" fontId="0" fillId="0" borderId="0" xfId="0"/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187" fontId="5" fillId="0" borderId="1" xfId="0" applyNumberFormat="1" applyFont="1" applyBorder="1" applyAlignment="1">
      <alignment vertical="center" wrapText="1"/>
    </xf>
    <xf numFmtId="187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87" fontId="4" fillId="0" borderId="1" xfId="0" applyNumberFormat="1" applyFont="1" applyBorder="1" applyAlignment="1">
      <alignment vertical="center"/>
    </xf>
    <xf numFmtId="187" fontId="4" fillId="0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187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187" fontId="5" fillId="2" borderId="1" xfId="0" applyNumberFormat="1" applyFont="1" applyFill="1" applyBorder="1" applyAlignment="1">
      <alignment vertical="center" wrapText="1"/>
    </xf>
    <xf numFmtId="187" fontId="4" fillId="2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87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87" fontId="4" fillId="0" borderId="0" xfId="0" applyNumberFormat="1" applyFont="1" applyAlignment="1">
      <alignment horizontal="center" vertical="center"/>
    </xf>
    <xf numFmtId="187" fontId="2" fillId="0" borderId="1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87" fontId="2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83" fontId="5" fillId="0" borderId="1" xfId="0" applyNumberFormat="1" applyFont="1" applyFill="1" applyBorder="1" applyAlignment="1">
      <alignment vertical="center" wrapText="1"/>
    </xf>
    <xf numFmtId="183" fontId="5" fillId="2" borderId="1" xfId="0" applyNumberFormat="1" applyFont="1" applyFill="1" applyBorder="1" applyAlignment="1">
      <alignment horizontal="right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187" fontId="2" fillId="0" borderId="1" xfId="0" applyNumberFormat="1" applyFont="1" applyBorder="1" applyAlignment="1">
      <alignment horizontal="right" vertical="center"/>
    </xf>
    <xf numFmtId="187" fontId="4" fillId="0" borderId="1" xfId="0" applyNumberFormat="1" applyFont="1" applyFill="1" applyBorder="1" applyAlignment="1">
      <alignment horizontal="center" vertical="center"/>
    </xf>
    <xf numFmtId="187" fontId="5" fillId="3" borderId="1" xfId="0" applyNumberFormat="1" applyFont="1" applyFill="1" applyBorder="1" applyAlignment="1">
      <alignment horizontal="right" vertical="center"/>
    </xf>
    <xf numFmtId="183" fontId="5" fillId="0" borderId="0" xfId="0" applyNumberFormat="1" applyFont="1" applyAlignment="1">
      <alignment vertical="center"/>
    </xf>
    <xf numFmtId="183" fontId="6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left" vertical="center" wrapText="1"/>
    </xf>
    <xf numFmtId="189" fontId="5" fillId="0" borderId="1" xfId="0" applyNumberFormat="1" applyFont="1" applyFill="1" applyBorder="1" applyAlignment="1">
      <alignment horizontal="right" vertical="center"/>
    </xf>
    <xf numFmtId="189" fontId="4" fillId="0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83" fontId="5" fillId="4" borderId="1" xfId="0" applyNumberFormat="1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82" fontId="5" fillId="0" borderId="1" xfId="0" applyNumberFormat="1" applyFont="1" applyFill="1" applyBorder="1" applyAlignment="1">
      <alignment vertical="center" wrapText="1"/>
    </xf>
    <xf numFmtId="182" fontId="4" fillId="0" borderId="1" xfId="0" applyNumberFormat="1" applyFont="1" applyFill="1" applyBorder="1" applyAlignment="1">
      <alignment vertical="center" wrapText="1"/>
    </xf>
    <xf numFmtId="190" fontId="5" fillId="2" borderId="1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 wrapText="1"/>
    </xf>
    <xf numFmtId="189" fontId="5" fillId="0" borderId="1" xfId="0" applyNumberFormat="1" applyFont="1" applyFill="1" applyBorder="1" applyAlignment="1">
      <alignment vertical="center" wrapText="1"/>
    </xf>
    <xf numFmtId="189" fontId="4" fillId="0" borderId="1" xfId="0" applyNumberFormat="1" applyFont="1" applyFill="1" applyBorder="1" applyAlignment="1">
      <alignment vertical="center" wrapText="1"/>
    </xf>
    <xf numFmtId="187" fontId="2" fillId="4" borderId="1" xfId="0" applyNumberFormat="1" applyFont="1" applyFill="1" applyBorder="1" applyAlignment="1">
      <alignment horizontal="center" vertical="center"/>
    </xf>
    <xf numFmtId="190" fontId="4" fillId="2" borderId="1" xfId="0" applyNumberFormat="1" applyFont="1" applyFill="1" applyBorder="1" applyAlignment="1">
      <alignment horizontal="right" vertical="center"/>
    </xf>
    <xf numFmtId="181" fontId="4" fillId="0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187" fontId="4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187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87" fontId="4" fillId="0" borderId="0" xfId="0" applyNumberFormat="1" applyFont="1" applyFill="1" applyBorder="1" applyAlignment="1">
      <alignment horizontal="right" vertical="center"/>
    </xf>
    <xf numFmtId="181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189" fontId="4" fillId="0" borderId="0" xfId="0" applyNumberFormat="1" applyFont="1" applyFill="1" applyBorder="1" applyAlignment="1">
      <alignment horizontal="right" vertical="center"/>
    </xf>
    <xf numFmtId="187" fontId="4" fillId="0" borderId="0" xfId="0" applyNumberFormat="1" applyFont="1" applyFill="1" applyBorder="1" applyAlignment="1">
      <alignment vertical="center"/>
    </xf>
    <xf numFmtId="0" fontId="6" fillId="5" borderId="1" xfId="0" applyFont="1" applyFill="1" applyBorder="1" applyAlignment="1">
      <alignment horizontal="center" vertical="center" wrapText="1"/>
    </xf>
    <xf numFmtId="187" fontId="4" fillId="5" borderId="0" xfId="0" applyNumberFormat="1" applyFont="1" applyFill="1" applyBorder="1" applyAlignment="1">
      <alignment vertical="center"/>
    </xf>
    <xf numFmtId="0" fontId="5" fillId="5" borderId="0" xfId="0" applyFont="1" applyFill="1" applyAlignment="1">
      <alignment vertical="center"/>
    </xf>
    <xf numFmtId="0" fontId="4" fillId="0" borderId="5" xfId="0" applyFont="1" applyBorder="1" applyAlignment="1">
      <alignment vertical="center"/>
    </xf>
    <xf numFmtId="187" fontId="5" fillId="0" borderId="0" xfId="0" applyNumberFormat="1" applyFont="1" applyAlignment="1">
      <alignment vertical="center"/>
    </xf>
    <xf numFmtId="0" fontId="6" fillId="6" borderId="1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vertical="center" wrapText="1"/>
    </xf>
    <xf numFmtId="187" fontId="4" fillId="0" borderId="0" xfId="0" applyNumberFormat="1" applyFont="1" applyAlignment="1">
      <alignment vertical="center"/>
    </xf>
    <xf numFmtId="0" fontId="4" fillId="6" borderId="0" xfId="0" applyFont="1" applyFill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189" fontId="5" fillId="7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187" fontId="8" fillId="2" borderId="1" xfId="0" applyNumberFormat="1" applyFont="1" applyFill="1" applyBorder="1" applyAlignment="1">
      <alignment horizontal="right" vertical="center"/>
    </xf>
    <xf numFmtId="183" fontId="5" fillId="8" borderId="1" xfId="0" applyNumberFormat="1" applyFont="1" applyFill="1" applyBorder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6" fillId="0" borderId="1" xfId="0" applyFont="1" applyBorder="1" applyAlignment="1">
      <alignment vertical="center"/>
    </xf>
    <xf numFmtId="0" fontId="5" fillId="8" borderId="1" xfId="0" applyFont="1" applyFill="1" applyBorder="1" applyAlignment="1">
      <alignment vertical="center"/>
    </xf>
    <xf numFmtId="189" fontId="5" fillId="0" borderId="0" xfId="0" applyNumberFormat="1" applyFont="1" applyAlignment="1">
      <alignment vertical="center"/>
    </xf>
    <xf numFmtId="189" fontId="4" fillId="0" borderId="1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189" fontId="5" fillId="0" borderId="0" xfId="0" applyNumberFormat="1" applyFont="1" applyFill="1" applyBorder="1" applyAlignment="1">
      <alignment horizontal="right" vertical="center"/>
    </xf>
    <xf numFmtId="14" fontId="6" fillId="0" borderId="1" xfId="0" applyNumberFormat="1" applyFont="1" applyBorder="1" applyAlignment="1">
      <alignment vertical="center" wrapText="1"/>
    </xf>
    <xf numFmtId="189" fontId="4" fillId="5" borderId="1" xfId="0" applyNumberFormat="1" applyFont="1" applyFill="1" applyBorder="1" applyAlignment="1">
      <alignment horizontal="right" vertical="center"/>
    </xf>
    <xf numFmtId="189" fontId="4" fillId="0" borderId="1" xfId="0" applyNumberFormat="1" applyFont="1" applyBorder="1" applyAlignment="1">
      <alignment horizontal="right" vertical="center"/>
    </xf>
    <xf numFmtId="0" fontId="6" fillId="9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89" fontId="5" fillId="2" borderId="1" xfId="0" applyNumberFormat="1" applyFont="1" applyFill="1" applyBorder="1" applyAlignment="1">
      <alignment horizontal="right" vertical="center"/>
    </xf>
    <xf numFmtId="189" fontId="4" fillId="0" borderId="1" xfId="0" applyNumberFormat="1" applyFont="1" applyBorder="1" applyAlignment="1">
      <alignment horizontal="center" vertical="center"/>
    </xf>
    <xf numFmtId="0" fontId="2" fillId="0" borderId="0" xfId="0" applyFont="1"/>
    <xf numFmtId="3" fontId="0" fillId="0" borderId="0" xfId="0" applyNumberFormat="1"/>
    <xf numFmtId="0" fontId="0" fillId="0" borderId="0" xfId="0" applyAlignment="1">
      <alignment wrapText="1"/>
    </xf>
    <xf numFmtId="4" fontId="3" fillId="0" borderId="0" xfId="0" applyNumberFormat="1" applyFont="1"/>
    <xf numFmtId="187" fontId="9" fillId="0" borderId="1" xfId="0" applyNumberFormat="1" applyFont="1" applyFill="1" applyBorder="1" applyAlignment="1">
      <alignment horizontal="right" vertical="center"/>
    </xf>
    <xf numFmtId="2" fontId="0" fillId="9" borderId="1" xfId="0" applyNumberFormat="1" applyFill="1" applyBorder="1"/>
    <xf numFmtId="187" fontId="5" fillId="9" borderId="1" xfId="0" applyNumberFormat="1" applyFont="1" applyFill="1" applyBorder="1" applyAlignment="1">
      <alignment vertical="center" wrapText="1"/>
    </xf>
    <xf numFmtId="182" fontId="5" fillId="9" borderId="1" xfId="0" applyNumberFormat="1" applyFont="1" applyFill="1" applyBorder="1" applyAlignment="1">
      <alignment horizontal="right" vertical="center"/>
    </xf>
    <xf numFmtId="189" fontId="5" fillId="2" borderId="1" xfId="0" applyNumberFormat="1" applyFont="1" applyFill="1" applyBorder="1" applyAlignment="1">
      <alignment horizontal="right" vertical="center" wrapText="1"/>
    </xf>
    <xf numFmtId="189" fontId="5" fillId="0" borderId="6" xfId="0" applyNumberFormat="1" applyFont="1" applyBorder="1" applyAlignment="1">
      <alignment horizontal="center" vertical="center"/>
    </xf>
    <xf numFmtId="182" fontId="0" fillId="10" borderId="0" xfId="0" applyNumberFormat="1" applyFill="1"/>
    <xf numFmtId="182" fontId="0" fillId="10" borderId="1" xfId="0" applyNumberFormat="1" applyFill="1" applyBorder="1"/>
    <xf numFmtId="182" fontId="4" fillId="0" borderId="1" xfId="0" applyNumberFormat="1" applyFont="1" applyBorder="1" applyAlignment="1">
      <alignment vertical="center"/>
    </xf>
    <xf numFmtId="194" fontId="11" fillId="2" borderId="1" xfId="0" applyNumberFormat="1" applyFont="1" applyFill="1" applyBorder="1" applyAlignment="1">
      <alignment horizontal="center" vertical="center"/>
    </xf>
    <xf numFmtId="194" fontId="4" fillId="2" borderId="1" xfId="0" applyNumberFormat="1" applyFont="1" applyFill="1" applyBorder="1" applyAlignment="1">
      <alignment horizontal="center" vertical="center"/>
    </xf>
    <xf numFmtId="182" fontId="4" fillId="0" borderId="0" xfId="0" applyNumberFormat="1" applyFont="1" applyFill="1" applyBorder="1" applyAlignment="1">
      <alignment horizontal="center" vertical="center"/>
    </xf>
    <xf numFmtId="182" fontId="5" fillId="0" borderId="0" xfId="0" applyNumberFormat="1" applyFont="1" applyAlignment="1">
      <alignment horizontal="center" vertical="center"/>
    </xf>
    <xf numFmtId="189" fontId="4" fillId="11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96" fontId="5" fillId="0" borderId="1" xfId="1" applyNumberFormat="1" applyFont="1" applyBorder="1" applyAlignment="1">
      <alignment vertical="center" wrapText="1"/>
    </xf>
    <xf numFmtId="196" fontId="5" fillId="0" borderId="0" xfId="1" applyNumberFormat="1" applyFont="1" applyAlignment="1">
      <alignment vertical="center"/>
    </xf>
    <xf numFmtId="198" fontId="5" fillId="0" borderId="0" xfId="0" applyNumberFormat="1" applyFont="1" applyAlignment="1">
      <alignment vertical="center"/>
    </xf>
    <xf numFmtId="189" fontId="5" fillId="12" borderId="1" xfId="0" applyNumberFormat="1" applyFont="1" applyFill="1" applyBorder="1" applyAlignment="1">
      <alignment horizontal="right" vertical="center"/>
    </xf>
    <xf numFmtId="189" fontId="5" fillId="12" borderId="1" xfId="0" applyNumberFormat="1" applyFont="1" applyFill="1" applyBorder="1" applyAlignment="1">
      <alignment vertical="center" wrapText="1"/>
    </xf>
    <xf numFmtId="189" fontId="5" fillId="12" borderId="1" xfId="0" applyNumberFormat="1" applyFont="1" applyFill="1" applyBorder="1" applyAlignment="1">
      <alignment horizontal="right" vertical="center" wrapText="1"/>
    </xf>
    <xf numFmtId="189" fontId="5" fillId="0" borderId="1" xfId="0" applyNumberFormat="1" applyFont="1" applyFill="1" applyBorder="1" applyAlignment="1">
      <alignment horizontal="right" vertical="center" wrapText="1"/>
    </xf>
    <xf numFmtId="182" fontId="0" fillId="0" borderId="1" xfId="0" applyNumberFormat="1" applyBorder="1"/>
    <xf numFmtId="189" fontId="4" fillId="0" borderId="1" xfId="0" applyNumberFormat="1" applyFont="1" applyBorder="1" applyAlignment="1">
      <alignment vertical="center"/>
    </xf>
    <xf numFmtId="194" fontId="10" fillId="2" borderId="1" xfId="0" applyNumberFormat="1" applyFont="1" applyFill="1" applyBorder="1" applyAlignment="1">
      <alignment horizontal="center" vertical="center"/>
    </xf>
    <xf numFmtId="0" fontId="8" fillId="13" borderId="1" xfId="0" applyFont="1" applyFill="1" applyBorder="1" applyAlignment="1">
      <alignment vertical="top" wrapText="1"/>
    </xf>
    <xf numFmtId="187" fontId="4" fillId="14" borderId="1" xfId="0" applyNumberFormat="1" applyFont="1" applyFill="1" applyBorder="1" applyAlignment="1">
      <alignment vertical="center"/>
    </xf>
    <xf numFmtId="187" fontId="4" fillId="14" borderId="1" xfId="0" applyNumberFormat="1" applyFont="1" applyFill="1" applyBorder="1" applyAlignment="1">
      <alignment horizontal="right" vertical="center"/>
    </xf>
    <xf numFmtId="4" fontId="4" fillId="14" borderId="1" xfId="0" applyNumberFormat="1" applyFont="1" applyFill="1" applyBorder="1" applyAlignment="1">
      <alignment horizontal="right" vertical="center"/>
    </xf>
    <xf numFmtId="187" fontId="5" fillId="14" borderId="1" xfId="0" applyNumberFormat="1" applyFont="1" applyFill="1" applyBorder="1" applyAlignment="1">
      <alignment vertical="center" wrapText="1"/>
    </xf>
    <xf numFmtId="189" fontId="5" fillId="2" borderId="1" xfId="0" applyNumberFormat="1" applyFont="1" applyFill="1" applyBorder="1" applyAlignment="1">
      <alignment horizontal="center" vertical="center"/>
    </xf>
    <xf numFmtId="189" fontId="0" fillId="0" borderId="1" xfId="0" applyNumberFormat="1" applyBorder="1" applyAlignment="1">
      <alignment horizontal="center"/>
    </xf>
    <xf numFmtId="189" fontId="5" fillId="2" borderId="1" xfId="0" applyNumberFormat="1" applyFont="1" applyFill="1" applyBorder="1" applyAlignment="1">
      <alignment horizontal="center" vertical="center" wrapText="1"/>
    </xf>
    <xf numFmtId="189" fontId="4" fillId="0" borderId="1" xfId="0" applyNumberFormat="1" applyFont="1" applyBorder="1" applyAlignment="1">
      <alignment horizontal="center" vertical="center" wrapText="1"/>
    </xf>
    <xf numFmtId="189" fontId="5" fillId="2" borderId="1" xfId="1" applyNumberFormat="1" applyFont="1" applyFill="1" applyBorder="1" applyAlignment="1">
      <alignment horizontal="center" vertical="center"/>
    </xf>
    <xf numFmtId="189" fontId="0" fillId="0" borderId="1" xfId="1" applyNumberFormat="1" applyFont="1" applyBorder="1" applyAlignment="1">
      <alignment horizontal="center"/>
    </xf>
    <xf numFmtId="189" fontId="5" fillId="2" borderId="1" xfId="1" applyNumberFormat="1" applyFont="1" applyFill="1" applyBorder="1" applyAlignment="1">
      <alignment horizontal="center" vertical="center" wrapText="1"/>
    </xf>
    <xf numFmtId="189" fontId="4" fillId="0" borderId="1" xfId="1" applyNumberFormat="1" applyFont="1" applyBorder="1" applyAlignment="1">
      <alignment horizontal="center" vertical="center" wrapText="1"/>
    </xf>
    <xf numFmtId="0" fontId="5" fillId="15" borderId="7" xfId="0" applyFont="1" applyFill="1" applyBorder="1" applyAlignment="1">
      <alignment horizontal="center" vertical="center" wrapText="1"/>
    </xf>
    <xf numFmtId="189" fontId="4" fillId="2" borderId="1" xfId="0" applyNumberFormat="1" applyFont="1" applyFill="1" applyBorder="1" applyAlignment="1">
      <alignment horizontal="right" vertical="center"/>
    </xf>
    <xf numFmtId="0" fontId="5" fillId="16" borderId="8" xfId="0" applyFont="1" applyFill="1" applyBorder="1" applyAlignment="1">
      <alignment horizontal="center"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5" fillId="16" borderId="9" xfId="0" applyFont="1" applyFill="1" applyBorder="1" applyAlignment="1">
      <alignment horizontal="center" vertical="center" wrapText="1"/>
    </xf>
    <xf numFmtId="189" fontId="13" fillId="0" borderId="1" xfId="0" applyNumberFormat="1" applyFont="1" applyBorder="1"/>
    <xf numFmtId="4" fontId="13" fillId="0" borderId="1" xfId="0" applyNumberFormat="1" applyFont="1" applyBorder="1" applyAlignment="1">
      <alignment horizontal="center" vertical="center"/>
    </xf>
    <xf numFmtId="3" fontId="13" fillId="16" borderId="1" xfId="0" applyNumberFormat="1" applyFont="1" applyFill="1" applyBorder="1" applyAlignment="1">
      <alignment horizontal="center" vertical="center"/>
    </xf>
    <xf numFmtId="3" fontId="13" fillId="16" borderId="1" xfId="0" applyNumberFormat="1" applyFont="1" applyFill="1" applyBorder="1" applyAlignment="1">
      <alignment horizontal="center"/>
    </xf>
    <xf numFmtId="3" fontId="13" fillId="16" borderId="9" xfId="0" applyNumberFormat="1" applyFont="1" applyFill="1" applyBorder="1" applyAlignment="1">
      <alignment horizontal="center"/>
    </xf>
    <xf numFmtId="4" fontId="13" fillId="0" borderId="1" xfId="0" applyNumberFormat="1" applyFont="1" applyBorder="1" applyAlignment="1">
      <alignment horizontal="center"/>
    </xf>
    <xf numFmtId="4" fontId="13" fillId="17" borderId="1" xfId="0" applyNumberFormat="1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left" vertical="center" wrapText="1"/>
    </xf>
    <xf numFmtId="189" fontId="13" fillId="0" borderId="1" xfId="0" applyNumberFormat="1" applyFont="1" applyBorder="1" applyAlignment="1">
      <alignment horizontal="center"/>
    </xf>
    <xf numFmtId="4" fontId="13" fillId="0" borderId="1" xfId="0" applyNumberFormat="1" applyFont="1" applyBorder="1"/>
    <xf numFmtId="189" fontId="13" fillId="0" borderId="1" xfId="0" applyNumberFormat="1" applyFont="1" applyBorder="1" applyAlignment="1">
      <alignment vertical="center"/>
    </xf>
    <xf numFmtId="3" fontId="13" fillId="16" borderId="9" xfId="0" applyNumberFormat="1" applyFont="1" applyFill="1" applyBorder="1" applyAlignment="1">
      <alignment horizontal="center" vertical="center"/>
    </xf>
    <xf numFmtId="4" fontId="13" fillId="17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wrapText="1"/>
    </xf>
    <xf numFmtId="189" fontId="14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3" fontId="14" fillId="16" borderId="10" xfId="0" applyNumberFormat="1" applyFont="1" applyFill="1" applyBorder="1" applyAlignment="1">
      <alignment horizontal="center" vertical="center"/>
    </xf>
    <xf numFmtId="4" fontId="14" fillId="17" borderId="1" xfId="0" applyNumberFormat="1" applyFont="1" applyFill="1" applyBorder="1" applyAlignment="1">
      <alignment horizontal="center" vertical="center"/>
    </xf>
    <xf numFmtId="187" fontId="14" fillId="0" borderId="1" xfId="0" applyNumberFormat="1" applyFont="1" applyBorder="1" applyAlignment="1">
      <alignment horizontal="center" vertical="center"/>
    </xf>
    <xf numFmtId="187" fontId="1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189" fontId="13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18" borderId="7" xfId="0" applyFont="1" applyFill="1" applyBorder="1" applyAlignment="1">
      <alignment horizontal="center" vertical="center" wrapText="1"/>
    </xf>
    <xf numFmtId="0" fontId="5" fillId="18" borderId="1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center" vertical="center" wrapText="1"/>
    </xf>
    <xf numFmtId="0" fontId="5" fillId="15" borderId="7" xfId="0" applyFont="1" applyFill="1" applyBorder="1" applyAlignment="1">
      <alignment horizontal="center" vertical="center" wrapText="1"/>
    </xf>
    <xf numFmtId="0" fontId="5" fillId="15" borderId="14" xfId="0" applyFont="1" applyFill="1" applyBorder="1" applyAlignment="1">
      <alignment horizontal="center" vertical="center" wrapText="1"/>
    </xf>
    <xf numFmtId="0" fontId="5" fillId="16" borderId="15" xfId="0" applyFont="1" applyFill="1" applyBorder="1" applyAlignment="1">
      <alignment horizontal="center" vertical="center" wrapText="1"/>
    </xf>
    <xf numFmtId="0" fontId="5" fillId="16" borderId="16" xfId="0" applyFont="1" applyFill="1" applyBorder="1" applyAlignment="1">
      <alignment horizontal="center" vertical="center" wrapText="1"/>
    </xf>
    <xf numFmtId="0" fontId="5" fillId="16" borderId="1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18" borderId="3" xfId="0" applyFont="1" applyFill="1" applyBorder="1" applyAlignment="1">
      <alignment horizontal="center" vertical="center" wrapText="1"/>
    </xf>
    <xf numFmtId="0" fontId="5" fillId="18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my\insta\&#1052;&#1091;&#1085;&#1080;&#1094;&#1080;&#1087;&#1072;&#1083;&#1100;&#1085;&#1099;&#1077;%20&#1086;&#1073;&#1088;&#1072;&#1079;&#1086;&#1074;&#1072;&#1085;&#1080;&#1103;\&#1052;&#1041;&#1054;%202009%20(&#1088;&#1072;&#1081;&#1086;&#1085;-&#1087;&#1086;&#1089;&#1077;&#1083;&#1077;&#1085;&#1080;&#1077;)\&#1087;&#1072;&#1088;&#1072;&#1084;&#1077;&#1090;&#1088;&#1099;%20&#1073;&#1102;&#1076;&#1078;&#1077;&#1090;&#1086;&#1074;\&#1041;&#1080;&#1088;&#1080;&#1083;&#1102;&#1089;&#1089;&#1082;&#1080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 (2)"/>
      <sheetName val="Лист1"/>
    </sheetNames>
    <sheetDataSet>
      <sheetData sheetId="0" refreshError="1">
        <row r="12">
          <cell r="M12">
            <v>7774.0999999999995</v>
          </cell>
        </row>
        <row r="13">
          <cell r="M13">
            <v>30</v>
          </cell>
        </row>
        <row r="16">
          <cell r="M16">
            <v>6037.0000000000009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26"/>
  <sheetViews>
    <sheetView view="pageBreakPreview" zoomScaleNormal="100" zoomScaleSheetLayoutView="82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0" sqref="B10"/>
    </sheetView>
  </sheetViews>
  <sheetFormatPr defaultRowHeight="12.75" x14ac:dyDescent="0.2"/>
  <cols>
    <col min="1" max="1" width="24.85546875" style="1" customWidth="1"/>
    <col min="2" max="3" width="11.140625" style="1" customWidth="1"/>
    <col min="4" max="4" width="10.85546875" style="1" customWidth="1"/>
    <col min="5" max="5" width="11" style="1" customWidth="1"/>
    <col min="6" max="6" width="10.28515625" style="1" customWidth="1"/>
    <col min="7" max="7" width="10.28515625" style="1" hidden="1" customWidth="1"/>
    <col min="8" max="8" width="10.5703125" style="1" customWidth="1"/>
    <col min="9" max="9" width="8.5703125" style="1" customWidth="1"/>
    <col min="10" max="10" width="10.28515625" style="1" customWidth="1"/>
    <col min="11" max="11" width="12.5703125" style="1" customWidth="1"/>
    <col min="12" max="12" width="9.85546875" style="1" customWidth="1"/>
    <col min="13" max="13" width="12.85546875" style="1" customWidth="1"/>
    <col min="14" max="14" width="9" style="35" customWidth="1"/>
    <col min="15" max="15" width="10.7109375" style="35" customWidth="1"/>
    <col min="16" max="16" width="10.28515625" style="1" customWidth="1"/>
    <col min="17" max="16384" width="9.140625" style="1"/>
  </cols>
  <sheetData>
    <row r="1" spans="1:16" ht="24.75" customHeight="1" x14ac:dyDescent="0.2">
      <c r="A1" s="190" t="s">
        <v>35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</row>
    <row r="2" spans="1:16" s="5" customFormat="1" ht="114" customHeight="1" x14ac:dyDescent="0.2">
      <c r="A2" s="2" t="s">
        <v>30</v>
      </c>
      <c r="B2" s="112" t="s">
        <v>36</v>
      </c>
      <c r="C2" s="112" t="s">
        <v>75</v>
      </c>
      <c r="D2" s="112" t="s">
        <v>37</v>
      </c>
      <c r="E2" s="112" t="s">
        <v>38</v>
      </c>
      <c r="F2" s="112" t="s">
        <v>141</v>
      </c>
      <c r="G2" s="2" t="s">
        <v>40</v>
      </c>
      <c r="H2" s="112" t="s">
        <v>78</v>
      </c>
      <c r="I2" s="112" t="s">
        <v>79</v>
      </c>
      <c r="J2" s="112" t="s">
        <v>74</v>
      </c>
      <c r="K2" s="112" t="s">
        <v>76</v>
      </c>
      <c r="L2" s="112" t="s">
        <v>13</v>
      </c>
      <c r="M2" s="112" t="s">
        <v>77</v>
      </c>
      <c r="N2" s="112" t="s">
        <v>80</v>
      </c>
      <c r="O2" s="112" t="s">
        <v>85</v>
      </c>
      <c r="P2" s="4"/>
    </row>
    <row r="3" spans="1:16" s="5" customFormat="1" ht="10.5" x14ac:dyDescent="0.2">
      <c r="A3" s="2" t="s">
        <v>27</v>
      </c>
      <c r="B3" s="16">
        <v>42005</v>
      </c>
      <c r="C3" s="16">
        <v>42005</v>
      </c>
      <c r="D3" s="2">
        <v>2015</v>
      </c>
      <c r="E3" s="2">
        <v>2015</v>
      </c>
      <c r="F3" s="16">
        <v>42005</v>
      </c>
      <c r="G3" s="2">
        <v>2009</v>
      </c>
      <c r="H3" s="109">
        <v>42370</v>
      </c>
      <c r="I3" s="16">
        <v>42370</v>
      </c>
      <c r="J3" s="16">
        <v>42005</v>
      </c>
      <c r="K3" s="16">
        <v>42370</v>
      </c>
      <c r="L3" s="16">
        <v>42370</v>
      </c>
      <c r="M3" s="16">
        <v>42370</v>
      </c>
      <c r="N3" s="32"/>
      <c r="O3" s="2"/>
      <c r="P3" s="4"/>
    </row>
    <row r="4" spans="1:16" s="5" customFormat="1" ht="10.5" x14ac:dyDescent="0.2">
      <c r="A4" s="2" t="s">
        <v>28</v>
      </c>
      <c r="B4" s="2" t="s">
        <v>34</v>
      </c>
      <c r="C4" s="2" t="s">
        <v>34</v>
      </c>
      <c r="D4" s="2" t="s">
        <v>39</v>
      </c>
      <c r="E4" s="2" t="s">
        <v>39</v>
      </c>
      <c r="F4" s="2" t="s">
        <v>39</v>
      </c>
      <c r="G4" s="2" t="s">
        <v>39</v>
      </c>
      <c r="H4" s="2" t="s">
        <v>33</v>
      </c>
      <c r="I4" s="2"/>
      <c r="J4" s="2" t="s">
        <v>32</v>
      </c>
      <c r="K4" s="2" t="s">
        <v>33</v>
      </c>
      <c r="L4" s="2" t="s">
        <v>33</v>
      </c>
      <c r="M4" s="2" t="s">
        <v>33</v>
      </c>
      <c r="N4" s="32" t="s">
        <v>33</v>
      </c>
      <c r="O4" s="2"/>
      <c r="P4" s="4"/>
    </row>
    <row r="5" spans="1:16" s="5" customFormat="1" ht="10.5" x14ac:dyDescent="0.2">
      <c r="A5" s="2" t="s">
        <v>29</v>
      </c>
      <c r="B5" s="2" t="s">
        <v>0</v>
      </c>
      <c r="C5" s="2"/>
      <c r="D5" s="2" t="s">
        <v>51</v>
      </c>
      <c r="E5" s="2" t="s">
        <v>52</v>
      </c>
      <c r="F5" s="2" t="s">
        <v>142</v>
      </c>
      <c r="G5" s="2" t="s">
        <v>54</v>
      </c>
      <c r="H5" s="3"/>
      <c r="I5" s="2" t="s">
        <v>21</v>
      </c>
      <c r="J5" s="2"/>
      <c r="K5" s="2" t="s">
        <v>12</v>
      </c>
      <c r="L5" s="2" t="s">
        <v>14</v>
      </c>
      <c r="M5" s="2" t="s">
        <v>15</v>
      </c>
      <c r="N5" s="32" t="s">
        <v>97</v>
      </c>
      <c r="O5" s="2" t="s">
        <v>84</v>
      </c>
      <c r="P5" s="4"/>
    </row>
    <row r="6" spans="1:16" ht="15" customHeight="1" x14ac:dyDescent="0.2">
      <c r="A6" s="147" t="s">
        <v>154</v>
      </c>
      <c r="B6" s="121">
        <v>446</v>
      </c>
      <c r="C6" s="121">
        <v>446</v>
      </c>
      <c r="D6" s="8">
        <v>129.19999999999999</v>
      </c>
      <c r="E6" s="7">
        <v>1.8</v>
      </c>
      <c r="F6" s="151">
        <v>14314</v>
      </c>
      <c r="G6" s="7"/>
      <c r="H6" s="48">
        <v>40</v>
      </c>
      <c r="I6" s="8">
        <v>2</v>
      </c>
      <c r="J6" s="95">
        <v>52428.4</v>
      </c>
      <c r="K6" s="34">
        <v>21</v>
      </c>
      <c r="L6" s="8"/>
      <c r="M6" s="34">
        <v>21</v>
      </c>
      <c r="N6" s="8">
        <v>0</v>
      </c>
      <c r="O6" s="7">
        <v>1</v>
      </c>
      <c r="P6" s="9"/>
    </row>
    <row r="7" spans="1:16" ht="15" customHeight="1" x14ac:dyDescent="0.2">
      <c r="A7" s="147" t="s">
        <v>155</v>
      </c>
      <c r="B7" s="121">
        <v>209</v>
      </c>
      <c r="C7" s="121">
        <v>209</v>
      </c>
      <c r="D7" s="8">
        <v>44.5</v>
      </c>
      <c r="E7" s="7">
        <v>1.1000000000000001</v>
      </c>
      <c r="F7" s="151">
        <v>12519</v>
      </c>
      <c r="G7" s="7"/>
      <c r="H7" s="48">
        <v>33</v>
      </c>
      <c r="I7" s="8">
        <v>3</v>
      </c>
      <c r="J7" s="95">
        <v>24668.7</v>
      </c>
      <c r="K7" s="34">
        <v>8.6</v>
      </c>
      <c r="L7" s="8"/>
      <c r="M7" s="34">
        <v>8.6</v>
      </c>
      <c r="N7" s="8">
        <v>0</v>
      </c>
      <c r="O7" s="7">
        <v>1</v>
      </c>
      <c r="P7" s="9"/>
    </row>
    <row r="8" spans="1:16" ht="17.25" customHeight="1" x14ac:dyDescent="0.2">
      <c r="A8" s="147" t="s">
        <v>156</v>
      </c>
      <c r="B8" s="121">
        <v>436</v>
      </c>
      <c r="C8" s="121">
        <v>436</v>
      </c>
      <c r="D8" s="8">
        <v>180.3</v>
      </c>
      <c r="E8" s="7">
        <v>7</v>
      </c>
      <c r="F8" s="151">
        <v>165768</v>
      </c>
      <c r="G8" s="7"/>
      <c r="H8" s="48">
        <v>10</v>
      </c>
      <c r="I8" s="8">
        <v>1</v>
      </c>
      <c r="J8" s="95">
        <v>11469.3</v>
      </c>
      <c r="K8" s="34">
        <v>6.62</v>
      </c>
      <c r="L8" s="8"/>
      <c r="M8" s="34">
        <v>6.62</v>
      </c>
      <c r="N8" s="8">
        <v>0</v>
      </c>
      <c r="O8" s="7">
        <v>1</v>
      </c>
      <c r="P8" s="9"/>
    </row>
    <row r="9" spans="1:16" ht="16.5" customHeight="1" x14ac:dyDescent="0.2">
      <c r="A9" s="147" t="s">
        <v>157</v>
      </c>
      <c r="B9" s="121">
        <v>471</v>
      </c>
      <c r="C9" s="121">
        <v>471</v>
      </c>
      <c r="D9" s="8">
        <v>227.6</v>
      </c>
      <c r="E9" s="7">
        <v>3.9</v>
      </c>
      <c r="F9" s="151">
        <v>74005</v>
      </c>
      <c r="G9" s="7"/>
      <c r="H9" s="48">
        <v>20</v>
      </c>
      <c r="I9" s="8">
        <v>1</v>
      </c>
      <c r="J9" s="95">
        <v>7466.2</v>
      </c>
      <c r="K9" s="34">
        <v>13.41</v>
      </c>
      <c r="L9" s="8"/>
      <c r="M9" s="34">
        <v>13.41</v>
      </c>
      <c r="N9" s="8">
        <v>0</v>
      </c>
      <c r="O9" s="7">
        <v>1</v>
      </c>
      <c r="P9" s="9"/>
    </row>
    <row r="10" spans="1:16" ht="16.5" customHeight="1" x14ac:dyDescent="0.2">
      <c r="A10" s="147" t="s">
        <v>158</v>
      </c>
      <c r="B10" s="121">
        <v>642</v>
      </c>
      <c r="C10" s="121">
        <v>642</v>
      </c>
      <c r="D10" s="8">
        <v>201.8</v>
      </c>
      <c r="E10" s="7">
        <v>17.899999999999999</v>
      </c>
      <c r="F10" s="151">
        <v>130662</v>
      </c>
      <c r="G10" s="7"/>
      <c r="H10" s="48">
        <v>30</v>
      </c>
      <c r="I10" s="8">
        <v>4</v>
      </c>
      <c r="J10" s="95">
        <v>34290</v>
      </c>
      <c r="K10" s="34">
        <v>19.34</v>
      </c>
      <c r="L10" s="8">
        <v>0.8</v>
      </c>
      <c r="M10" s="34">
        <v>19.34</v>
      </c>
      <c r="N10" s="8">
        <v>0</v>
      </c>
      <c r="O10" s="7">
        <v>1</v>
      </c>
      <c r="P10" s="9"/>
    </row>
    <row r="11" spans="1:16" ht="16.5" customHeight="1" x14ac:dyDescent="0.2">
      <c r="A11" s="147" t="s">
        <v>159</v>
      </c>
      <c r="B11" s="121">
        <v>521</v>
      </c>
      <c r="C11" s="121">
        <v>521</v>
      </c>
      <c r="D11" s="8">
        <v>196.7</v>
      </c>
      <c r="E11" s="7">
        <v>9.5</v>
      </c>
      <c r="F11" s="151">
        <v>72984</v>
      </c>
      <c r="G11" s="7"/>
      <c r="H11" s="48">
        <v>29</v>
      </c>
      <c r="I11" s="8">
        <v>2</v>
      </c>
      <c r="J11" s="95">
        <v>31367.7</v>
      </c>
      <c r="K11" s="34">
        <v>12.7</v>
      </c>
      <c r="L11" s="8">
        <v>1</v>
      </c>
      <c r="M11" s="34">
        <v>12.7</v>
      </c>
      <c r="N11" s="8">
        <v>0</v>
      </c>
      <c r="O11" s="7">
        <v>1</v>
      </c>
      <c r="P11" s="9"/>
    </row>
    <row r="12" spans="1:16" ht="15" customHeight="1" x14ac:dyDescent="0.2">
      <c r="A12" s="147" t="s">
        <v>160</v>
      </c>
      <c r="B12" s="121">
        <v>5352</v>
      </c>
      <c r="C12" s="121">
        <v>5352</v>
      </c>
      <c r="D12" s="8">
        <v>5496.1</v>
      </c>
      <c r="E12" s="7">
        <v>515.70000000000005</v>
      </c>
      <c r="F12" s="151">
        <v>315370</v>
      </c>
      <c r="G12" s="7"/>
      <c r="H12" s="48">
        <v>0</v>
      </c>
      <c r="I12" s="8">
        <v>3</v>
      </c>
      <c r="J12" s="95">
        <v>15176</v>
      </c>
      <c r="K12" s="34">
        <v>53.65</v>
      </c>
      <c r="L12" s="34">
        <v>8.5500000000000007</v>
      </c>
      <c r="M12" s="34">
        <v>53.65</v>
      </c>
      <c r="N12" s="8">
        <v>0</v>
      </c>
      <c r="O12" s="7">
        <v>1</v>
      </c>
      <c r="P12" s="9"/>
    </row>
    <row r="13" spans="1:16" ht="14.25" customHeight="1" x14ac:dyDescent="0.2">
      <c r="A13" s="147" t="s">
        <v>161</v>
      </c>
      <c r="B13" s="121">
        <v>341</v>
      </c>
      <c r="C13" s="121">
        <v>341</v>
      </c>
      <c r="D13" s="8">
        <v>115.3</v>
      </c>
      <c r="E13" s="7">
        <v>9.4</v>
      </c>
      <c r="F13" s="151">
        <v>111035</v>
      </c>
      <c r="G13" s="7"/>
      <c r="H13" s="48">
        <v>23</v>
      </c>
      <c r="I13" s="8">
        <v>1</v>
      </c>
      <c r="J13" s="95">
        <v>9026.7999999999993</v>
      </c>
      <c r="K13" s="34">
        <v>9.1999999999999993</v>
      </c>
      <c r="L13" s="8">
        <v>2.1</v>
      </c>
      <c r="M13" s="34">
        <v>9.1999999999999993</v>
      </c>
      <c r="N13" s="8">
        <v>0</v>
      </c>
      <c r="O13" s="7">
        <v>1</v>
      </c>
      <c r="P13" s="9"/>
    </row>
    <row r="14" spans="1:16" ht="15" customHeight="1" x14ac:dyDescent="0.2">
      <c r="A14" s="147" t="s">
        <v>162</v>
      </c>
      <c r="B14" s="121">
        <v>350</v>
      </c>
      <c r="C14" s="121">
        <v>350</v>
      </c>
      <c r="D14" s="8">
        <v>239.2</v>
      </c>
      <c r="E14" s="7">
        <v>27.6</v>
      </c>
      <c r="F14" s="151">
        <v>33671</v>
      </c>
      <c r="G14" s="7"/>
      <c r="H14" s="48">
        <v>12</v>
      </c>
      <c r="I14" s="8">
        <v>2</v>
      </c>
      <c r="J14" s="95">
        <v>7334.5</v>
      </c>
      <c r="K14" s="34">
        <v>6.1</v>
      </c>
      <c r="L14" s="8"/>
      <c r="M14" s="34">
        <v>6.1</v>
      </c>
      <c r="N14" s="8">
        <v>0</v>
      </c>
      <c r="O14" s="7">
        <v>1</v>
      </c>
      <c r="P14" s="9"/>
    </row>
    <row r="15" spans="1:16" ht="15" customHeight="1" x14ac:dyDescent="0.2">
      <c r="A15" s="147" t="s">
        <v>163</v>
      </c>
      <c r="B15" s="121">
        <v>298</v>
      </c>
      <c r="C15" s="121">
        <v>298</v>
      </c>
      <c r="D15" s="8">
        <v>142.6</v>
      </c>
      <c r="E15" s="7">
        <v>5.6</v>
      </c>
      <c r="F15" s="151">
        <v>61627</v>
      </c>
      <c r="G15" s="7"/>
      <c r="H15" s="48">
        <v>10</v>
      </c>
      <c r="I15" s="8">
        <v>1</v>
      </c>
      <c r="J15" s="95">
        <v>7123.1</v>
      </c>
      <c r="K15" s="34">
        <v>13.32</v>
      </c>
      <c r="L15" s="8"/>
      <c r="M15" s="34">
        <v>13.32</v>
      </c>
      <c r="N15" s="8">
        <v>0</v>
      </c>
      <c r="O15" s="7">
        <v>1</v>
      </c>
      <c r="P15" s="9"/>
    </row>
    <row r="16" spans="1:16" ht="15" customHeight="1" x14ac:dyDescent="0.2">
      <c r="A16" s="147" t="s">
        <v>164</v>
      </c>
      <c r="B16" s="121">
        <v>573</v>
      </c>
      <c r="C16" s="121">
        <v>573</v>
      </c>
      <c r="D16" s="8">
        <v>198.5</v>
      </c>
      <c r="E16" s="7">
        <v>6.4</v>
      </c>
      <c r="F16" s="151">
        <v>24729</v>
      </c>
      <c r="G16" s="7"/>
      <c r="H16" s="48">
        <v>23</v>
      </c>
      <c r="I16" s="8">
        <v>3</v>
      </c>
      <c r="J16" s="95">
        <v>20584.5</v>
      </c>
      <c r="K16" s="34">
        <v>14.6</v>
      </c>
      <c r="L16" s="8"/>
      <c r="M16" s="34">
        <v>14.6</v>
      </c>
      <c r="N16" s="8">
        <v>0</v>
      </c>
      <c r="O16" s="7">
        <v>1</v>
      </c>
      <c r="P16" s="9"/>
    </row>
    <row r="17" spans="1:16" ht="15" customHeight="1" x14ac:dyDescent="0.2">
      <c r="A17" s="147" t="s">
        <v>165</v>
      </c>
      <c r="B17" s="121">
        <v>459</v>
      </c>
      <c r="C17" s="121">
        <v>459</v>
      </c>
      <c r="D17" s="8">
        <v>130.6</v>
      </c>
      <c r="E17" s="7">
        <v>7.4</v>
      </c>
      <c r="F17" s="151">
        <v>58556</v>
      </c>
      <c r="G17" s="7"/>
      <c r="H17" s="48">
        <v>22</v>
      </c>
      <c r="I17" s="8">
        <v>1</v>
      </c>
      <c r="J17" s="95">
        <v>6244.1</v>
      </c>
      <c r="K17" s="34">
        <v>10.3</v>
      </c>
      <c r="L17" s="8"/>
      <c r="M17" s="34">
        <v>10.3</v>
      </c>
      <c r="N17" s="8">
        <v>0</v>
      </c>
      <c r="O17" s="7">
        <v>1</v>
      </c>
      <c r="P17" s="9"/>
    </row>
    <row r="18" spans="1:16" ht="15" customHeight="1" x14ac:dyDescent="0.2">
      <c r="A18" s="147" t="s">
        <v>166</v>
      </c>
      <c r="B18" s="121">
        <v>231</v>
      </c>
      <c r="C18" s="121">
        <v>231</v>
      </c>
      <c r="D18" s="8">
        <v>98.8</v>
      </c>
      <c r="E18" s="7">
        <v>-12.5</v>
      </c>
      <c r="F18" s="151">
        <v>12060</v>
      </c>
      <c r="G18" s="7"/>
      <c r="H18" s="48">
        <v>44</v>
      </c>
      <c r="I18" s="8">
        <v>2</v>
      </c>
      <c r="J18" s="95">
        <v>68721.8</v>
      </c>
      <c r="K18" s="34">
        <v>5</v>
      </c>
      <c r="L18" s="8"/>
      <c r="M18" s="34">
        <v>5</v>
      </c>
      <c r="N18" s="8">
        <v>0</v>
      </c>
      <c r="O18" s="7">
        <v>1</v>
      </c>
      <c r="P18" s="9"/>
    </row>
    <row r="19" spans="1:16" ht="15" customHeight="1" x14ac:dyDescent="0.2">
      <c r="A19" s="147" t="s">
        <v>167</v>
      </c>
      <c r="B19" s="121">
        <v>623</v>
      </c>
      <c r="C19" s="121">
        <v>623</v>
      </c>
      <c r="D19" s="8">
        <v>242.2</v>
      </c>
      <c r="E19" s="7">
        <v>17.5</v>
      </c>
      <c r="F19" s="151">
        <v>22375</v>
      </c>
      <c r="G19" s="7"/>
      <c r="H19" s="48">
        <v>37</v>
      </c>
      <c r="I19" s="8">
        <v>3</v>
      </c>
      <c r="J19" s="95">
        <v>104428</v>
      </c>
      <c r="K19" s="34">
        <v>13.43</v>
      </c>
      <c r="L19" s="8">
        <v>0.7</v>
      </c>
      <c r="M19" s="34">
        <v>13.43</v>
      </c>
      <c r="N19" s="8">
        <v>0</v>
      </c>
      <c r="O19" s="7">
        <v>1</v>
      </c>
      <c r="P19" s="9"/>
    </row>
    <row r="20" spans="1:16" ht="15" customHeight="1" x14ac:dyDescent="0.2">
      <c r="A20" s="147" t="s">
        <v>168</v>
      </c>
      <c r="B20" s="121">
        <v>407</v>
      </c>
      <c r="C20" s="121">
        <v>407</v>
      </c>
      <c r="D20" s="8">
        <v>167.4</v>
      </c>
      <c r="E20" s="7">
        <v>2.9</v>
      </c>
      <c r="F20" s="151">
        <v>10446</v>
      </c>
      <c r="G20" s="7"/>
      <c r="H20" s="48">
        <v>61</v>
      </c>
      <c r="I20" s="8">
        <v>5</v>
      </c>
      <c r="J20" s="95">
        <v>194052.9</v>
      </c>
      <c r="K20" s="34">
        <v>22.69</v>
      </c>
      <c r="L20" s="8">
        <v>1.4</v>
      </c>
      <c r="M20" s="34">
        <v>22.69</v>
      </c>
      <c r="N20" s="8">
        <v>0</v>
      </c>
      <c r="O20" s="7">
        <v>1</v>
      </c>
      <c r="P20" s="9"/>
    </row>
    <row r="21" spans="1:16" ht="15.75" customHeight="1" x14ac:dyDescent="0.2">
      <c r="A21" s="147" t="s">
        <v>169</v>
      </c>
      <c r="B21" s="121">
        <v>359</v>
      </c>
      <c r="C21" s="121">
        <v>359</v>
      </c>
      <c r="D21" s="8">
        <v>160.6</v>
      </c>
      <c r="E21" s="7">
        <v>2.5</v>
      </c>
      <c r="F21" s="151">
        <v>14541</v>
      </c>
      <c r="G21" s="7"/>
      <c r="H21" s="48">
        <v>8</v>
      </c>
      <c r="I21" s="8">
        <v>2</v>
      </c>
      <c r="J21" s="96">
        <v>17112</v>
      </c>
      <c r="K21" s="34">
        <v>8.41</v>
      </c>
      <c r="L21" s="8">
        <v>0</v>
      </c>
      <c r="M21" s="34">
        <v>8.41</v>
      </c>
      <c r="N21" s="8">
        <v>0</v>
      </c>
      <c r="O21" s="7">
        <v>1</v>
      </c>
      <c r="P21" s="9"/>
    </row>
    <row r="22" spans="1:16" s="14" customFormat="1" x14ac:dyDescent="0.2">
      <c r="A22" s="10" t="s">
        <v>31</v>
      </c>
      <c r="B22" s="148">
        <f t="shared" ref="B22:G22" si="0">SUM(B6:B21)</f>
        <v>11718</v>
      </c>
      <c r="C22" s="148">
        <f t="shared" si="0"/>
        <v>11718</v>
      </c>
      <c r="D22" s="148">
        <f t="shared" si="0"/>
        <v>7971.4000000000015</v>
      </c>
      <c r="E22" s="148">
        <f t="shared" si="0"/>
        <v>623.70000000000005</v>
      </c>
      <c r="F22" s="11">
        <f t="shared" si="0"/>
        <v>1134662</v>
      </c>
      <c r="G22" s="11">
        <f t="shared" si="0"/>
        <v>0</v>
      </c>
      <c r="H22" s="149">
        <f t="shared" ref="H22:N22" si="1">SUM(H6:H21)</f>
        <v>402</v>
      </c>
      <c r="I22" s="149">
        <f t="shared" si="1"/>
        <v>36</v>
      </c>
      <c r="J22" s="150">
        <f t="shared" si="1"/>
        <v>611494</v>
      </c>
      <c r="K22" s="150">
        <f t="shared" si="1"/>
        <v>238.36999999999998</v>
      </c>
      <c r="L22" s="150">
        <f t="shared" si="1"/>
        <v>14.55</v>
      </c>
      <c r="M22" s="150">
        <f t="shared" si="1"/>
        <v>238.36999999999998</v>
      </c>
      <c r="N22" s="12">
        <f t="shared" si="1"/>
        <v>0</v>
      </c>
      <c r="O22" s="47" t="s">
        <v>26</v>
      </c>
      <c r="P22" s="13"/>
    </row>
    <row r="26" spans="1:16" x14ac:dyDescent="0.2">
      <c r="M26" s="15"/>
      <c r="N26" s="40"/>
      <c r="O26" s="40"/>
    </row>
  </sheetData>
  <mergeCells count="1">
    <mergeCell ref="A1:O1"/>
  </mergeCells>
  <phoneticPr fontId="3" type="noConversion"/>
  <pageMargins left="0" right="7.874015748031496E-2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8"/>
  <sheetViews>
    <sheetView tabSelected="1" topLeftCell="A13" zoomScaleNormal="100" workbookViewId="0">
      <pane xSplit="1" topLeftCell="C1" activePane="topRight" state="frozen"/>
      <selection pane="topRight" activeCell="C26" sqref="C26"/>
    </sheetView>
  </sheetViews>
  <sheetFormatPr defaultRowHeight="12.75" x14ac:dyDescent="0.2"/>
  <cols>
    <col min="1" max="1" width="17.5703125" style="119" customWidth="1"/>
    <col min="2" max="2" width="10" hidden="1" customWidth="1"/>
    <col min="3" max="3" width="15.5703125" customWidth="1"/>
    <col min="4" max="4" width="13.85546875" customWidth="1"/>
    <col min="5" max="5" width="14" customWidth="1"/>
    <col min="6" max="6" width="10.28515625" hidden="1" customWidth="1"/>
    <col min="7" max="7" width="13.85546875" customWidth="1"/>
    <col min="8" max="8" width="12.7109375" customWidth="1"/>
    <col min="9" max="9" width="13.5703125" customWidth="1"/>
    <col min="10" max="10" width="12.140625" customWidth="1"/>
    <col min="11" max="11" width="12" customWidth="1"/>
    <col min="12" max="12" width="11.140625" customWidth="1"/>
    <col min="13" max="14" width="14.28515625" customWidth="1"/>
    <col min="15" max="16" width="14.5703125" customWidth="1"/>
    <col min="17" max="17" width="14.28515625" customWidth="1"/>
    <col min="18" max="18" width="15.85546875" customWidth="1"/>
    <col min="19" max="19" width="11.42578125" customWidth="1"/>
    <col min="20" max="20" width="5.140625" customWidth="1"/>
    <col min="21" max="21" width="5.85546875" customWidth="1"/>
    <col min="22" max="22" width="10" customWidth="1"/>
    <col min="23" max="23" width="10.42578125" customWidth="1"/>
    <col min="24" max="24" width="10.7109375" customWidth="1"/>
    <col min="25" max="25" width="11" customWidth="1"/>
    <col min="26" max="27" width="11.28515625" customWidth="1"/>
    <col min="28" max="30" width="9.5703125" hidden="1" customWidth="1"/>
    <col min="31" max="31" width="13.5703125" customWidth="1"/>
    <col min="32" max="32" width="14.5703125" customWidth="1"/>
    <col min="33" max="33" width="14.140625" customWidth="1"/>
  </cols>
  <sheetData>
    <row r="1" spans="1:33" ht="16.5" customHeight="1" x14ac:dyDescent="0.2"/>
    <row r="2" spans="1:33" ht="13.5" thickBot="1" x14ac:dyDescent="0.25"/>
    <row r="3" spans="1:33" ht="26.25" customHeight="1" x14ac:dyDescent="0.2">
      <c r="A3" s="214" t="s">
        <v>143</v>
      </c>
      <c r="B3" s="114"/>
      <c r="C3" s="215" t="s">
        <v>144</v>
      </c>
      <c r="D3" s="216"/>
      <c r="E3" s="217"/>
      <c r="F3" s="160"/>
      <c r="G3" s="215" t="s">
        <v>145</v>
      </c>
      <c r="H3" s="216"/>
      <c r="I3" s="217"/>
      <c r="J3" s="218" t="s">
        <v>146</v>
      </c>
      <c r="K3" s="219"/>
      <c r="L3" s="220"/>
      <c r="M3" s="215" t="s">
        <v>147</v>
      </c>
      <c r="N3" s="216"/>
      <c r="O3" s="217"/>
      <c r="P3" s="215" t="s">
        <v>171</v>
      </c>
      <c r="Q3" s="216"/>
      <c r="R3" s="217"/>
      <c r="S3" s="224" t="s">
        <v>148</v>
      </c>
      <c r="T3" s="212"/>
      <c r="U3" s="212"/>
      <c r="V3" s="225" t="s">
        <v>149</v>
      </c>
      <c r="W3" s="225"/>
      <c r="X3" s="225"/>
      <c r="Y3" s="212" t="s">
        <v>150</v>
      </c>
      <c r="Z3" s="212"/>
      <c r="AA3" s="213"/>
      <c r="AB3" s="221" t="s">
        <v>151</v>
      </c>
      <c r="AC3" s="222"/>
      <c r="AD3" s="223"/>
      <c r="AE3" s="221" t="s">
        <v>152</v>
      </c>
      <c r="AF3" s="222"/>
      <c r="AG3" s="223"/>
    </row>
    <row r="4" spans="1:33" s="136" customFormat="1" ht="63" customHeight="1" x14ac:dyDescent="0.2">
      <c r="A4" s="214"/>
      <c r="B4" s="113"/>
      <c r="C4" s="113">
        <v>2017</v>
      </c>
      <c r="D4" s="113">
        <v>2018</v>
      </c>
      <c r="E4" s="113">
        <v>2019</v>
      </c>
      <c r="F4" s="113"/>
      <c r="G4" s="113">
        <v>2017</v>
      </c>
      <c r="H4" s="113">
        <v>2018</v>
      </c>
      <c r="I4" s="113">
        <v>2019</v>
      </c>
      <c r="J4" s="162" t="s">
        <v>170</v>
      </c>
      <c r="K4" s="163" t="s">
        <v>173</v>
      </c>
      <c r="L4" s="164" t="s">
        <v>178</v>
      </c>
      <c r="M4" s="113">
        <v>2017</v>
      </c>
      <c r="N4" s="113">
        <v>2018</v>
      </c>
      <c r="O4" s="113">
        <v>2019</v>
      </c>
      <c r="P4" s="113">
        <v>2017</v>
      </c>
      <c r="Q4" s="113">
        <v>2018</v>
      </c>
      <c r="R4" s="113">
        <v>2019</v>
      </c>
      <c r="S4" s="113">
        <v>2017</v>
      </c>
      <c r="T4" s="113">
        <v>2018</v>
      </c>
      <c r="U4" s="113">
        <v>2019</v>
      </c>
      <c r="V4" s="113">
        <v>2017</v>
      </c>
      <c r="W4" s="113">
        <v>2018</v>
      </c>
      <c r="X4" s="113">
        <v>2019</v>
      </c>
      <c r="Y4" s="113">
        <v>2017</v>
      </c>
      <c r="Z4" s="113">
        <v>2018</v>
      </c>
      <c r="AA4" s="113">
        <v>2019</v>
      </c>
      <c r="AB4" s="113">
        <v>2015</v>
      </c>
      <c r="AC4" s="113">
        <v>2016</v>
      </c>
      <c r="AD4" s="113">
        <v>2017</v>
      </c>
      <c r="AE4" s="113">
        <v>2017</v>
      </c>
      <c r="AF4" s="113">
        <v>2018</v>
      </c>
      <c r="AG4" s="113">
        <v>2019</v>
      </c>
    </row>
    <row r="5" spans="1:33" ht="25.5" x14ac:dyDescent="0.25">
      <c r="A5" s="187" t="s">
        <v>154</v>
      </c>
      <c r="B5" s="165">
        <f>'ИБР_общий, БО, дотации'!V7</f>
        <v>617.15455284272889</v>
      </c>
      <c r="C5" s="166">
        <v>617155</v>
      </c>
      <c r="D5" s="166">
        <v>493724</v>
      </c>
      <c r="E5" s="166">
        <f>D5</f>
        <v>493724</v>
      </c>
      <c r="F5" s="189">
        <f>'ИБР_общий, БО, дотации'!R7</f>
        <v>543.94740458269212</v>
      </c>
      <c r="G5" s="166">
        <v>543947</v>
      </c>
      <c r="H5" s="166">
        <f>G5</f>
        <v>543947</v>
      </c>
      <c r="I5" s="166">
        <f>G5</f>
        <v>543947</v>
      </c>
      <c r="J5" s="167">
        <v>337219</v>
      </c>
      <c r="K5" s="168">
        <v>345075</v>
      </c>
      <c r="L5" s="169">
        <v>354715</v>
      </c>
      <c r="M5" s="170">
        <f t="shared" ref="M5:M20" si="0">P5-J5-G5-C5</f>
        <v>2060091.0000000005</v>
      </c>
      <c r="N5" s="170">
        <f t="shared" ref="N5:N20" si="1">Q5-K5-H5-D5</f>
        <v>2025666</v>
      </c>
      <c r="O5" s="170">
        <f t="shared" ref="O5:O20" si="2">R5-L5-I5-E5</f>
        <v>2016026</v>
      </c>
      <c r="P5" s="171">
        <f>'прогноз расходов'!F5*1000</f>
        <v>3558412.0000000005</v>
      </c>
      <c r="Q5" s="171">
        <v>3408412</v>
      </c>
      <c r="R5" s="171">
        <v>3408412</v>
      </c>
      <c r="S5" s="172">
        <v>52357</v>
      </c>
      <c r="T5" s="172"/>
      <c r="U5" s="172"/>
      <c r="V5" s="173">
        <v>1443</v>
      </c>
      <c r="W5" s="173">
        <f>V5</f>
        <v>1443</v>
      </c>
      <c r="X5" s="173">
        <f>V5</f>
        <v>1443</v>
      </c>
      <c r="Y5" s="165"/>
      <c r="Z5" s="165"/>
      <c r="AA5" s="165"/>
      <c r="AB5" s="174"/>
      <c r="AC5" s="174"/>
      <c r="AD5" s="174"/>
      <c r="AE5" s="186">
        <f>P5+S5+V5+Y5+AB5</f>
        <v>3612212.0000000005</v>
      </c>
      <c r="AF5" s="186">
        <f>Q5+T5+W5+Z5+AC5</f>
        <v>3409855</v>
      </c>
      <c r="AG5" s="186">
        <f>R5+U5+X5+AA5+AD5</f>
        <v>3409855</v>
      </c>
    </row>
    <row r="6" spans="1:33" ht="25.5" x14ac:dyDescent="0.25">
      <c r="A6" s="187" t="s">
        <v>155</v>
      </c>
      <c r="B6" s="165">
        <f>'ИБР_общий, БО, дотации'!V8</f>
        <v>349.04994468301879</v>
      </c>
      <c r="C6" s="166">
        <v>349050</v>
      </c>
      <c r="D6" s="166">
        <v>279240</v>
      </c>
      <c r="E6" s="166">
        <f t="shared" ref="E6:E20" si="3">D6</f>
        <v>279240</v>
      </c>
      <c r="F6" s="189">
        <f>'ИБР_общий, БО, дотации'!R8</f>
        <v>656.89393889324981</v>
      </c>
      <c r="G6" s="166">
        <v>656894</v>
      </c>
      <c r="H6" s="166">
        <f t="shared" ref="H6:H20" si="4">G6</f>
        <v>656894</v>
      </c>
      <c r="I6" s="166">
        <f t="shared" ref="I6:I20" si="5">G6</f>
        <v>656894</v>
      </c>
      <c r="J6" s="167">
        <v>150318</v>
      </c>
      <c r="K6" s="168">
        <v>153929</v>
      </c>
      <c r="L6" s="169">
        <v>158753</v>
      </c>
      <c r="M6" s="170">
        <f t="shared" si="0"/>
        <v>3784100</v>
      </c>
      <c r="N6" s="170">
        <f t="shared" si="1"/>
        <v>3650299</v>
      </c>
      <c r="O6" s="170">
        <f t="shared" si="2"/>
        <v>3645475</v>
      </c>
      <c r="P6" s="171">
        <f>'прогноз расходов'!F6*1000</f>
        <v>4940362</v>
      </c>
      <c r="Q6" s="171">
        <v>4740362</v>
      </c>
      <c r="R6" s="171">
        <v>4740362</v>
      </c>
      <c r="S6" s="172">
        <v>31414</v>
      </c>
      <c r="T6" s="172"/>
      <c r="U6" s="172"/>
      <c r="V6" s="173">
        <v>676</v>
      </c>
      <c r="W6" s="173">
        <f t="shared" ref="W6:W20" si="6">V6</f>
        <v>676</v>
      </c>
      <c r="X6" s="173">
        <f t="shared" ref="X6:X20" si="7">V6</f>
        <v>676</v>
      </c>
      <c r="Y6" s="175"/>
      <c r="Z6" s="175"/>
      <c r="AA6" s="175"/>
      <c r="AB6" s="170"/>
      <c r="AC6" s="170"/>
      <c r="AD6" s="170"/>
      <c r="AE6" s="186">
        <f t="shared" ref="AE6:AE20" si="8">P6+S6+V6+Y6+AB6</f>
        <v>4972452</v>
      </c>
      <c r="AF6" s="186">
        <f t="shared" ref="AF6:AF20" si="9">Q6+T6+W6+Z6+AC6</f>
        <v>4741038</v>
      </c>
      <c r="AG6" s="186">
        <f t="shared" ref="AG6:AG21" si="10">R6+U6+X6+AA6+AD6</f>
        <v>4741038</v>
      </c>
    </row>
    <row r="7" spans="1:33" ht="25.5" x14ac:dyDescent="0.25">
      <c r="A7" s="187" t="s">
        <v>156</v>
      </c>
      <c r="B7" s="165">
        <f>'ИБР_общий, БО, дотации'!V9</f>
        <v>329.78038060764078</v>
      </c>
      <c r="C7" s="166">
        <v>329780</v>
      </c>
      <c r="D7" s="166">
        <v>263824</v>
      </c>
      <c r="E7" s="166">
        <f t="shared" si="3"/>
        <v>263824</v>
      </c>
      <c r="F7" s="189">
        <f>'ИБР_общий, БО, дотации'!R9</f>
        <v>394.28665250088903</v>
      </c>
      <c r="G7" s="166">
        <v>394287</v>
      </c>
      <c r="H7" s="166">
        <f t="shared" si="4"/>
        <v>394287</v>
      </c>
      <c r="I7" s="166">
        <f t="shared" si="5"/>
        <v>394287</v>
      </c>
      <c r="J7" s="167">
        <v>792630</v>
      </c>
      <c r="K7" s="168">
        <v>807971</v>
      </c>
      <c r="L7" s="169">
        <v>823677</v>
      </c>
      <c r="M7" s="170">
        <f t="shared" si="0"/>
        <v>1682398</v>
      </c>
      <c r="N7" s="170">
        <f t="shared" si="1"/>
        <v>1733013</v>
      </c>
      <c r="O7" s="170">
        <f t="shared" si="2"/>
        <v>1717307</v>
      </c>
      <c r="P7" s="171">
        <f>'прогноз расходов'!F7*1000</f>
        <v>3199095</v>
      </c>
      <c r="Q7" s="171">
        <v>3199095</v>
      </c>
      <c r="R7" s="171">
        <v>3199095</v>
      </c>
      <c r="S7" s="172">
        <v>52357</v>
      </c>
      <c r="T7" s="172"/>
      <c r="U7" s="172"/>
      <c r="V7" s="173">
        <v>1410</v>
      </c>
      <c r="W7" s="173">
        <f t="shared" si="6"/>
        <v>1410</v>
      </c>
      <c r="X7" s="173">
        <f t="shared" si="7"/>
        <v>1410</v>
      </c>
      <c r="Y7" s="175"/>
      <c r="Z7" s="175"/>
      <c r="AA7" s="175"/>
      <c r="AB7" s="170"/>
      <c r="AC7" s="170"/>
      <c r="AD7" s="170"/>
      <c r="AE7" s="186">
        <f t="shared" si="8"/>
        <v>3252862</v>
      </c>
      <c r="AF7" s="186">
        <f t="shared" si="9"/>
        <v>3200505</v>
      </c>
      <c r="AG7" s="186">
        <f t="shared" si="10"/>
        <v>3200505</v>
      </c>
    </row>
    <row r="8" spans="1:33" ht="25.5" x14ac:dyDescent="0.25">
      <c r="A8" s="187" t="s">
        <v>157</v>
      </c>
      <c r="B8" s="165">
        <f>'ИБР_общий, БО, дотации'!V10</f>
        <v>514.29196585312729</v>
      </c>
      <c r="C8" s="166">
        <v>514292</v>
      </c>
      <c r="D8" s="166">
        <v>411434</v>
      </c>
      <c r="E8" s="166">
        <f t="shared" si="3"/>
        <v>411434</v>
      </c>
      <c r="F8" s="189">
        <f>'ИБР_общий, БО, дотации'!R10</f>
        <v>643.73044479994837</v>
      </c>
      <c r="G8" s="166">
        <v>643730</v>
      </c>
      <c r="H8" s="166">
        <f t="shared" si="4"/>
        <v>643730</v>
      </c>
      <c r="I8" s="166">
        <f t="shared" si="5"/>
        <v>643730</v>
      </c>
      <c r="J8" s="167">
        <v>452221</v>
      </c>
      <c r="K8" s="168">
        <v>466081</v>
      </c>
      <c r="L8" s="169">
        <v>481981</v>
      </c>
      <c r="M8" s="170">
        <f t="shared" si="0"/>
        <v>2191650.0000000005</v>
      </c>
      <c r="N8" s="170">
        <f t="shared" si="1"/>
        <v>2280648</v>
      </c>
      <c r="O8" s="170">
        <f t="shared" si="2"/>
        <v>2264748</v>
      </c>
      <c r="P8" s="171">
        <f>'прогноз расходов'!F8*1000</f>
        <v>3801893.0000000005</v>
      </c>
      <c r="Q8" s="171">
        <v>3801893</v>
      </c>
      <c r="R8" s="171">
        <v>3801893</v>
      </c>
      <c r="S8" s="172">
        <v>52360</v>
      </c>
      <c r="T8" s="172"/>
      <c r="U8" s="172"/>
      <c r="V8" s="173">
        <v>1523</v>
      </c>
      <c r="W8" s="173">
        <f t="shared" si="6"/>
        <v>1523</v>
      </c>
      <c r="X8" s="173">
        <f t="shared" si="7"/>
        <v>1523</v>
      </c>
      <c r="Y8" s="175">
        <v>12000</v>
      </c>
      <c r="Z8" s="175">
        <v>12000</v>
      </c>
      <c r="AA8" s="175">
        <v>12000</v>
      </c>
      <c r="AB8" s="170"/>
      <c r="AC8" s="170"/>
      <c r="AD8" s="170"/>
      <c r="AE8" s="186">
        <f t="shared" si="8"/>
        <v>3867776.0000000005</v>
      </c>
      <c r="AF8" s="186">
        <f t="shared" si="9"/>
        <v>3815416</v>
      </c>
      <c r="AG8" s="186">
        <f t="shared" si="10"/>
        <v>3815416</v>
      </c>
    </row>
    <row r="9" spans="1:33" ht="25.5" x14ac:dyDescent="0.25">
      <c r="A9" s="187" t="s">
        <v>158</v>
      </c>
      <c r="B9" s="165">
        <f>'ИБР_общий, БО, дотации'!V11</f>
        <v>822.9100790322783</v>
      </c>
      <c r="C9" s="166">
        <v>822910</v>
      </c>
      <c r="D9" s="166">
        <v>658328</v>
      </c>
      <c r="E9" s="166">
        <f t="shared" si="3"/>
        <v>658328</v>
      </c>
      <c r="F9" s="189">
        <f>'ИБР_общий, БО, дотации'!R11</f>
        <v>417.2509030089787</v>
      </c>
      <c r="G9" s="166">
        <v>417251</v>
      </c>
      <c r="H9" s="166">
        <f t="shared" si="4"/>
        <v>417251</v>
      </c>
      <c r="I9" s="166">
        <f t="shared" si="5"/>
        <v>417251</v>
      </c>
      <c r="J9" s="167">
        <v>555643</v>
      </c>
      <c r="K9" s="168">
        <v>568771</v>
      </c>
      <c r="L9" s="169">
        <v>583878</v>
      </c>
      <c r="M9" s="170">
        <f t="shared" si="0"/>
        <v>4219212</v>
      </c>
      <c r="N9" s="170">
        <f t="shared" si="1"/>
        <v>4370666</v>
      </c>
      <c r="O9" s="170">
        <f t="shared" si="2"/>
        <v>4355559</v>
      </c>
      <c r="P9" s="171">
        <f>'прогноз расходов'!F9*1000</f>
        <v>6015016</v>
      </c>
      <c r="Q9" s="171">
        <v>6015016</v>
      </c>
      <c r="R9" s="171">
        <v>6015016</v>
      </c>
      <c r="S9" s="172">
        <v>52357</v>
      </c>
      <c r="T9" s="172"/>
      <c r="U9" s="172"/>
      <c r="V9" s="173">
        <v>2076</v>
      </c>
      <c r="W9" s="173">
        <f t="shared" si="6"/>
        <v>2076</v>
      </c>
      <c r="X9" s="173">
        <f t="shared" si="7"/>
        <v>2076</v>
      </c>
      <c r="Y9" s="175">
        <v>16000</v>
      </c>
      <c r="Z9" s="175">
        <v>16000</v>
      </c>
      <c r="AA9" s="175">
        <v>16000</v>
      </c>
      <c r="AB9" s="170"/>
      <c r="AC9" s="170"/>
      <c r="AD9" s="170"/>
      <c r="AE9" s="186">
        <f t="shared" si="8"/>
        <v>6085449</v>
      </c>
      <c r="AF9" s="186">
        <f t="shared" si="9"/>
        <v>6033092</v>
      </c>
      <c r="AG9" s="186">
        <f t="shared" si="10"/>
        <v>6033092</v>
      </c>
    </row>
    <row r="10" spans="1:33" ht="18.75" customHeight="1" x14ac:dyDescent="0.25">
      <c r="A10" s="187" t="s">
        <v>159</v>
      </c>
      <c r="B10" s="165">
        <f>'ИБР_общий, БО, дотации'!V12</f>
        <v>708.67455212564948</v>
      </c>
      <c r="C10" s="166">
        <v>708675</v>
      </c>
      <c r="D10" s="166">
        <v>566940</v>
      </c>
      <c r="E10" s="166">
        <f t="shared" si="3"/>
        <v>566940</v>
      </c>
      <c r="F10" s="189">
        <f>'ИБР_общий, БО, дотации'!R12</f>
        <v>430.81472622708156</v>
      </c>
      <c r="G10" s="166">
        <v>430815</v>
      </c>
      <c r="H10" s="166">
        <f t="shared" si="4"/>
        <v>430815</v>
      </c>
      <c r="I10" s="166">
        <f t="shared" si="5"/>
        <v>430815</v>
      </c>
      <c r="J10" s="167">
        <v>432133</v>
      </c>
      <c r="K10" s="168">
        <v>444138</v>
      </c>
      <c r="L10" s="169">
        <v>458075</v>
      </c>
      <c r="M10" s="170">
        <f t="shared" si="0"/>
        <v>2850820.9999999991</v>
      </c>
      <c r="N10" s="170">
        <f t="shared" si="1"/>
        <v>2980551</v>
      </c>
      <c r="O10" s="170">
        <f t="shared" si="2"/>
        <v>2966614</v>
      </c>
      <c r="P10" s="171">
        <f>'прогноз расходов'!F10*1000</f>
        <v>4422443.9999999991</v>
      </c>
      <c r="Q10" s="171">
        <v>4422444</v>
      </c>
      <c r="R10" s="171">
        <v>4422444</v>
      </c>
      <c r="S10" s="172">
        <v>52357</v>
      </c>
      <c r="T10" s="172"/>
      <c r="U10" s="172"/>
      <c r="V10" s="173">
        <v>1685</v>
      </c>
      <c r="W10" s="173">
        <f t="shared" si="6"/>
        <v>1685</v>
      </c>
      <c r="X10" s="173">
        <f t="shared" si="7"/>
        <v>1685</v>
      </c>
      <c r="Y10" s="175">
        <v>36000</v>
      </c>
      <c r="Z10" s="175">
        <v>36000</v>
      </c>
      <c r="AA10" s="175">
        <v>36000</v>
      </c>
      <c r="AB10" s="170"/>
      <c r="AC10" s="170"/>
      <c r="AD10" s="170"/>
      <c r="AE10" s="186">
        <f t="shared" si="8"/>
        <v>4512485.9999999991</v>
      </c>
      <c r="AF10" s="186">
        <f t="shared" si="9"/>
        <v>4460129</v>
      </c>
      <c r="AG10" s="186">
        <f t="shared" si="10"/>
        <v>4460129</v>
      </c>
    </row>
    <row r="11" spans="1:33" s="135" customFormat="1" ht="25.5" x14ac:dyDescent="0.2">
      <c r="A11" s="188" t="s">
        <v>160</v>
      </c>
      <c r="B11" s="176">
        <f>'ИБР_общий, БО, дотации'!V13</f>
        <v>3603.7650898285392</v>
      </c>
      <c r="C11" s="166">
        <v>3603765</v>
      </c>
      <c r="D11" s="166">
        <v>2883010</v>
      </c>
      <c r="E11" s="166">
        <f t="shared" si="3"/>
        <v>2883010</v>
      </c>
      <c r="F11" s="189">
        <f>'ИБР_общий, БО, дотации'!R13</f>
        <v>209.56011574956128</v>
      </c>
      <c r="G11" s="166">
        <v>209560</v>
      </c>
      <c r="H11" s="166">
        <f t="shared" si="4"/>
        <v>209560</v>
      </c>
      <c r="I11" s="166">
        <f t="shared" si="5"/>
        <v>209560</v>
      </c>
      <c r="J11" s="167">
        <v>9553264</v>
      </c>
      <c r="K11" s="167">
        <v>9909166</v>
      </c>
      <c r="L11" s="177">
        <v>10327357</v>
      </c>
      <c r="M11" s="166">
        <f t="shared" si="0"/>
        <v>0</v>
      </c>
      <c r="N11" s="166">
        <f t="shared" si="1"/>
        <v>0</v>
      </c>
      <c r="O11" s="166">
        <f t="shared" si="2"/>
        <v>0</v>
      </c>
      <c r="P11" s="178">
        <f>'прогноз расходов'!F11*1000</f>
        <v>13366589</v>
      </c>
      <c r="Q11" s="178">
        <f>13288836-282702-1147-3251</f>
        <v>13001736</v>
      </c>
      <c r="R11" s="178">
        <f>13288836+135489-1147-3251</f>
        <v>13419927</v>
      </c>
      <c r="S11" s="172">
        <v>0</v>
      </c>
      <c r="T11" s="172"/>
      <c r="U11" s="172"/>
      <c r="V11" s="173">
        <v>17310</v>
      </c>
      <c r="W11" s="173">
        <f t="shared" si="6"/>
        <v>17310</v>
      </c>
      <c r="X11" s="173">
        <f t="shared" si="7"/>
        <v>17310</v>
      </c>
      <c r="Y11" s="179">
        <v>60000</v>
      </c>
      <c r="Z11" s="179">
        <v>60000</v>
      </c>
      <c r="AA11" s="179">
        <v>60000</v>
      </c>
      <c r="AB11" s="166"/>
      <c r="AC11" s="166"/>
      <c r="AD11" s="166"/>
      <c r="AE11" s="185">
        <f t="shared" si="8"/>
        <v>13443899</v>
      </c>
      <c r="AF11" s="185">
        <f t="shared" si="9"/>
        <v>13079046</v>
      </c>
      <c r="AG11" s="185">
        <f t="shared" si="10"/>
        <v>13497237</v>
      </c>
    </row>
    <row r="12" spans="1:33" ht="25.5" x14ac:dyDescent="0.25">
      <c r="A12" s="187" t="s">
        <v>161</v>
      </c>
      <c r="B12" s="165">
        <f>'ИБР_общий, БО, дотации'!V14</f>
        <v>383.64583624284984</v>
      </c>
      <c r="C12" s="166">
        <v>383646</v>
      </c>
      <c r="D12" s="166">
        <v>306917</v>
      </c>
      <c r="E12" s="166">
        <f t="shared" si="3"/>
        <v>306917</v>
      </c>
      <c r="F12" s="189">
        <f>'ИБР_общий, БО, дотации'!R14</f>
        <v>335.32714813238425</v>
      </c>
      <c r="G12" s="166">
        <v>335327</v>
      </c>
      <c r="H12" s="166">
        <f t="shared" si="4"/>
        <v>335327</v>
      </c>
      <c r="I12" s="166">
        <f t="shared" si="5"/>
        <v>335327</v>
      </c>
      <c r="J12" s="167">
        <v>404536</v>
      </c>
      <c r="K12" s="168">
        <v>417090</v>
      </c>
      <c r="L12" s="169">
        <v>430611</v>
      </c>
      <c r="M12" s="170">
        <f t="shared" si="0"/>
        <v>2086366</v>
      </c>
      <c r="N12" s="170">
        <f t="shared" si="1"/>
        <v>2150541</v>
      </c>
      <c r="O12" s="170">
        <f t="shared" si="2"/>
        <v>2137020</v>
      </c>
      <c r="P12" s="171">
        <f>'прогноз расходов'!F12*1000</f>
        <v>3209875</v>
      </c>
      <c r="Q12" s="171">
        <v>3209875</v>
      </c>
      <c r="R12" s="171">
        <v>3209875</v>
      </c>
      <c r="S12" s="172">
        <v>31414</v>
      </c>
      <c r="T12" s="172"/>
      <c r="U12" s="172"/>
      <c r="V12" s="173">
        <v>1103</v>
      </c>
      <c r="W12" s="173">
        <f t="shared" si="6"/>
        <v>1103</v>
      </c>
      <c r="X12" s="173">
        <f t="shared" si="7"/>
        <v>1103</v>
      </c>
      <c r="Y12" s="175"/>
      <c r="Z12" s="175"/>
      <c r="AA12" s="175"/>
      <c r="AB12" s="170"/>
      <c r="AC12" s="170"/>
      <c r="AD12" s="170"/>
      <c r="AE12" s="186">
        <f t="shared" si="8"/>
        <v>3242392</v>
      </c>
      <c r="AF12" s="186">
        <f t="shared" si="9"/>
        <v>3210978</v>
      </c>
      <c r="AG12" s="186">
        <f t="shared" si="10"/>
        <v>3210978</v>
      </c>
    </row>
    <row r="13" spans="1:33" ht="15" x14ac:dyDescent="0.25">
      <c r="A13" s="187" t="s">
        <v>162</v>
      </c>
      <c r="B13" s="165">
        <f>'ИБР_общий, БО, дотации'!V15</f>
        <v>355.11604569499934</v>
      </c>
      <c r="C13" s="166">
        <v>355116</v>
      </c>
      <c r="D13" s="166">
        <v>284093</v>
      </c>
      <c r="E13" s="166">
        <f t="shared" si="3"/>
        <v>284093</v>
      </c>
      <c r="F13" s="189">
        <f>'ИБР_общий, БО, дотации'!R15</f>
        <v>450.94905363203429</v>
      </c>
      <c r="G13" s="166">
        <v>450949</v>
      </c>
      <c r="H13" s="166">
        <f t="shared" si="4"/>
        <v>450949</v>
      </c>
      <c r="I13" s="166">
        <f t="shared" si="5"/>
        <v>450949</v>
      </c>
      <c r="J13" s="167">
        <v>363911</v>
      </c>
      <c r="K13" s="168">
        <v>379458</v>
      </c>
      <c r="L13" s="169">
        <v>396574</v>
      </c>
      <c r="M13" s="170">
        <f t="shared" si="0"/>
        <v>2265867.9999999995</v>
      </c>
      <c r="N13" s="170">
        <f t="shared" si="1"/>
        <v>2321344</v>
      </c>
      <c r="O13" s="170">
        <f t="shared" si="2"/>
        <v>2304228</v>
      </c>
      <c r="P13" s="171">
        <f>'прогноз расходов'!F13*1000</f>
        <v>3435843.9999999995</v>
      </c>
      <c r="Q13" s="171">
        <v>3435844</v>
      </c>
      <c r="R13" s="171">
        <v>3435844</v>
      </c>
      <c r="S13" s="172">
        <v>31414</v>
      </c>
      <c r="T13" s="172"/>
      <c r="U13" s="172"/>
      <c r="V13" s="173">
        <v>1132</v>
      </c>
      <c r="W13" s="173">
        <f t="shared" si="6"/>
        <v>1132</v>
      </c>
      <c r="X13" s="173">
        <f t="shared" si="7"/>
        <v>1132</v>
      </c>
      <c r="Y13" s="175">
        <v>12000</v>
      </c>
      <c r="Z13" s="175">
        <v>12000</v>
      </c>
      <c r="AA13" s="175">
        <v>12000</v>
      </c>
      <c r="AB13" s="170"/>
      <c r="AC13" s="170"/>
      <c r="AD13" s="170"/>
      <c r="AE13" s="186">
        <f t="shared" si="8"/>
        <v>3480389.9999999995</v>
      </c>
      <c r="AF13" s="186">
        <f t="shared" si="9"/>
        <v>3448976</v>
      </c>
      <c r="AG13" s="186">
        <f t="shared" si="10"/>
        <v>3448976</v>
      </c>
    </row>
    <row r="14" spans="1:33" ht="18.75" customHeight="1" x14ac:dyDescent="0.25">
      <c r="A14" s="187" t="s">
        <v>163</v>
      </c>
      <c r="B14" s="165">
        <f>'ИБР_общий, БО, дотации'!V16</f>
        <v>229.55490409812847</v>
      </c>
      <c r="C14" s="166">
        <v>229555</v>
      </c>
      <c r="D14" s="166">
        <v>183644</v>
      </c>
      <c r="E14" s="166">
        <f t="shared" si="3"/>
        <v>183644</v>
      </c>
      <c r="F14" s="189">
        <f>'ИБР_общий, БО, дотации'!R16</f>
        <v>621.43091636119811</v>
      </c>
      <c r="G14" s="166">
        <v>621431</v>
      </c>
      <c r="H14" s="166">
        <f t="shared" si="4"/>
        <v>621431</v>
      </c>
      <c r="I14" s="166">
        <f t="shared" si="5"/>
        <v>621431</v>
      </c>
      <c r="J14" s="167">
        <v>365855</v>
      </c>
      <c r="K14" s="168">
        <v>371570</v>
      </c>
      <c r="L14" s="169">
        <v>378872</v>
      </c>
      <c r="M14" s="170">
        <f t="shared" si="0"/>
        <v>2699217.9999999991</v>
      </c>
      <c r="N14" s="170">
        <f t="shared" si="1"/>
        <v>2739414</v>
      </c>
      <c r="O14" s="170">
        <f t="shared" si="2"/>
        <v>2732112</v>
      </c>
      <c r="P14" s="171">
        <f>'прогноз расходов'!F14*1000</f>
        <v>3916058.9999999991</v>
      </c>
      <c r="Q14" s="171">
        <v>3916059</v>
      </c>
      <c r="R14" s="171">
        <v>3916059</v>
      </c>
      <c r="S14" s="172">
        <v>31414</v>
      </c>
      <c r="T14" s="172"/>
      <c r="U14" s="172"/>
      <c r="V14" s="173">
        <v>965</v>
      </c>
      <c r="W14" s="173">
        <f t="shared" si="6"/>
        <v>965</v>
      </c>
      <c r="X14" s="173">
        <f t="shared" si="7"/>
        <v>965</v>
      </c>
      <c r="Y14" s="175"/>
      <c r="Z14" s="175"/>
      <c r="AA14" s="175"/>
      <c r="AB14" s="170"/>
      <c r="AC14" s="170"/>
      <c r="AD14" s="170"/>
      <c r="AE14" s="186">
        <f t="shared" si="8"/>
        <v>3948437.9999999991</v>
      </c>
      <c r="AF14" s="186">
        <f t="shared" si="9"/>
        <v>3917024</v>
      </c>
      <c r="AG14" s="186">
        <f t="shared" si="10"/>
        <v>3917024</v>
      </c>
    </row>
    <row r="15" spans="1:33" ht="25.5" x14ac:dyDescent="0.25">
      <c r="A15" s="187" t="s">
        <v>164</v>
      </c>
      <c r="B15" s="165">
        <f>'ИБР_общий, БО, дотации'!V17</f>
        <v>780.88970536756119</v>
      </c>
      <c r="C15" s="166">
        <v>780890</v>
      </c>
      <c r="D15" s="166">
        <v>624712</v>
      </c>
      <c r="E15" s="166">
        <f t="shared" si="3"/>
        <v>624712</v>
      </c>
      <c r="F15" s="189">
        <f>'ИБР_общий, БО, дотации'!R17</f>
        <v>739.25622190388697</v>
      </c>
      <c r="G15" s="166">
        <v>739256</v>
      </c>
      <c r="H15" s="166">
        <f t="shared" si="4"/>
        <v>739256</v>
      </c>
      <c r="I15" s="166">
        <f t="shared" si="5"/>
        <v>739256</v>
      </c>
      <c r="J15" s="167">
        <v>458916</v>
      </c>
      <c r="K15" s="168">
        <v>471139</v>
      </c>
      <c r="L15" s="169">
        <v>485087</v>
      </c>
      <c r="M15" s="170">
        <f t="shared" si="0"/>
        <v>4261804</v>
      </c>
      <c r="N15" s="170">
        <f t="shared" si="1"/>
        <v>4205759</v>
      </c>
      <c r="O15" s="170">
        <f t="shared" si="2"/>
        <v>4191811</v>
      </c>
      <c r="P15" s="171">
        <f>'прогноз расходов'!F15*1000</f>
        <v>6240866</v>
      </c>
      <c r="Q15" s="171">
        <v>6040866</v>
      </c>
      <c r="R15" s="171">
        <v>6040866</v>
      </c>
      <c r="S15" s="172">
        <v>52357</v>
      </c>
      <c r="T15" s="172"/>
      <c r="U15" s="172"/>
      <c r="V15" s="173">
        <v>1853</v>
      </c>
      <c r="W15" s="173">
        <f t="shared" si="6"/>
        <v>1853</v>
      </c>
      <c r="X15" s="173">
        <f t="shared" si="7"/>
        <v>1853</v>
      </c>
      <c r="Y15" s="175"/>
      <c r="Z15" s="175"/>
      <c r="AA15" s="175"/>
      <c r="AB15" s="170"/>
      <c r="AC15" s="170"/>
      <c r="AD15" s="170"/>
      <c r="AE15" s="186">
        <f t="shared" si="8"/>
        <v>6295076</v>
      </c>
      <c r="AF15" s="186">
        <f t="shared" si="9"/>
        <v>6042719</v>
      </c>
      <c r="AG15" s="186">
        <f t="shared" si="10"/>
        <v>6042719</v>
      </c>
    </row>
    <row r="16" spans="1:33" ht="25.5" x14ac:dyDescent="0.25">
      <c r="A16" s="187" t="s">
        <v>165</v>
      </c>
      <c r="B16" s="165">
        <f>'ИБР_общий, БО, дотации'!V18</f>
        <v>708.92762892670282</v>
      </c>
      <c r="C16" s="166">
        <v>708928</v>
      </c>
      <c r="D16" s="166">
        <v>567142</v>
      </c>
      <c r="E16" s="166">
        <f t="shared" si="3"/>
        <v>567142</v>
      </c>
      <c r="F16" s="189">
        <f>'ИБР_общий, БО, дотации'!R18</f>
        <v>396.65868993600242</v>
      </c>
      <c r="G16" s="166">
        <v>396659</v>
      </c>
      <c r="H16" s="166">
        <f t="shared" si="4"/>
        <v>396659</v>
      </c>
      <c r="I16" s="166">
        <f t="shared" si="5"/>
        <v>396659</v>
      </c>
      <c r="J16" s="167">
        <v>308516</v>
      </c>
      <c r="K16" s="168">
        <v>318425</v>
      </c>
      <c r="L16" s="169">
        <v>329947</v>
      </c>
      <c r="M16" s="170">
        <f t="shared" si="0"/>
        <v>2156445</v>
      </c>
      <c r="N16" s="170">
        <f t="shared" si="1"/>
        <v>2288322</v>
      </c>
      <c r="O16" s="170">
        <f t="shared" si="2"/>
        <v>2276800</v>
      </c>
      <c r="P16" s="171">
        <f>'прогноз расходов'!F16*1000</f>
        <v>3570548</v>
      </c>
      <c r="Q16" s="171">
        <v>3570548</v>
      </c>
      <c r="R16" s="171">
        <v>3570548</v>
      </c>
      <c r="S16" s="172">
        <v>31414</v>
      </c>
      <c r="T16" s="172"/>
      <c r="U16" s="172"/>
      <c r="V16" s="173">
        <v>1485</v>
      </c>
      <c r="W16" s="173">
        <f t="shared" si="6"/>
        <v>1485</v>
      </c>
      <c r="X16" s="173">
        <f t="shared" si="7"/>
        <v>1485</v>
      </c>
      <c r="Y16" s="175"/>
      <c r="Z16" s="175"/>
      <c r="AA16" s="175"/>
      <c r="AB16" s="170"/>
      <c r="AC16" s="170"/>
      <c r="AD16" s="170"/>
      <c r="AE16" s="186">
        <f t="shared" si="8"/>
        <v>3603447</v>
      </c>
      <c r="AF16" s="186">
        <f t="shared" si="9"/>
        <v>3572033</v>
      </c>
      <c r="AG16" s="186">
        <f t="shared" si="10"/>
        <v>3572033</v>
      </c>
    </row>
    <row r="17" spans="1:33" ht="25.5" x14ac:dyDescent="0.25">
      <c r="A17" s="187" t="s">
        <v>166</v>
      </c>
      <c r="B17" s="165">
        <f>'ИБР_общий, БО, дотации'!V19</f>
        <v>372.48221681933302</v>
      </c>
      <c r="C17" s="166">
        <v>372482</v>
      </c>
      <c r="D17" s="166">
        <v>297986</v>
      </c>
      <c r="E17" s="166">
        <f t="shared" si="3"/>
        <v>297986</v>
      </c>
      <c r="F17" s="189">
        <f>'ИБР_общий, БО, дотации'!R19</f>
        <v>653.74572421608343</v>
      </c>
      <c r="G17" s="166">
        <v>653746</v>
      </c>
      <c r="H17" s="166">
        <f t="shared" si="4"/>
        <v>653746</v>
      </c>
      <c r="I17" s="166">
        <f t="shared" si="5"/>
        <v>653746</v>
      </c>
      <c r="J17" s="167">
        <v>180675</v>
      </c>
      <c r="K17" s="168">
        <v>186633</v>
      </c>
      <c r="L17" s="169">
        <v>194092</v>
      </c>
      <c r="M17" s="170">
        <f t="shared" si="0"/>
        <v>2851600</v>
      </c>
      <c r="N17" s="170">
        <f t="shared" si="1"/>
        <v>2770138</v>
      </c>
      <c r="O17" s="170">
        <f t="shared" si="2"/>
        <v>2762679</v>
      </c>
      <c r="P17" s="171">
        <f>'прогноз расходов'!F17*1000</f>
        <v>4058503</v>
      </c>
      <c r="Q17" s="171">
        <v>3908503</v>
      </c>
      <c r="R17" s="171">
        <v>3908503</v>
      </c>
      <c r="S17" s="172">
        <v>31414</v>
      </c>
      <c r="T17" s="172"/>
      <c r="U17" s="172"/>
      <c r="V17" s="173">
        <v>747</v>
      </c>
      <c r="W17" s="173">
        <f t="shared" si="6"/>
        <v>747</v>
      </c>
      <c r="X17" s="173">
        <f t="shared" si="7"/>
        <v>747</v>
      </c>
      <c r="Y17" s="175"/>
      <c r="Z17" s="175"/>
      <c r="AA17" s="175"/>
      <c r="AB17" s="170"/>
      <c r="AC17" s="170"/>
      <c r="AD17" s="170"/>
      <c r="AE17" s="186">
        <f t="shared" si="8"/>
        <v>4090664</v>
      </c>
      <c r="AF17" s="186">
        <f t="shared" si="9"/>
        <v>3909250</v>
      </c>
      <c r="AG17" s="186">
        <f t="shared" si="10"/>
        <v>3909250</v>
      </c>
    </row>
    <row r="18" spans="1:33" ht="25.5" x14ac:dyDescent="0.25">
      <c r="A18" s="187" t="s">
        <v>167</v>
      </c>
      <c r="B18" s="165">
        <f>'ИБР_общий, БО, дотации'!V20</f>
        <v>854.7488310871521</v>
      </c>
      <c r="C18" s="166">
        <v>854749</v>
      </c>
      <c r="D18" s="166">
        <v>683799</v>
      </c>
      <c r="E18" s="166">
        <f t="shared" si="3"/>
        <v>683799</v>
      </c>
      <c r="F18" s="189">
        <f>'ИБР_общий, БО, дотации'!R20</f>
        <v>472.81339894449178</v>
      </c>
      <c r="G18" s="166">
        <v>472813</v>
      </c>
      <c r="H18" s="166">
        <f t="shared" si="4"/>
        <v>472813</v>
      </c>
      <c r="I18" s="166">
        <f t="shared" si="5"/>
        <v>472813</v>
      </c>
      <c r="J18" s="167">
        <v>485775</v>
      </c>
      <c r="K18" s="168">
        <v>502559</v>
      </c>
      <c r="L18" s="169">
        <v>521406</v>
      </c>
      <c r="M18" s="170">
        <f t="shared" si="0"/>
        <v>3674409.0000000009</v>
      </c>
      <c r="N18" s="170">
        <f t="shared" si="1"/>
        <v>3638575</v>
      </c>
      <c r="O18" s="170">
        <f t="shared" si="2"/>
        <v>3619728</v>
      </c>
      <c r="P18" s="171">
        <f>'прогноз расходов'!F18*1000</f>
        <v>5487746.0000000009</v>
      </c>
      <c r="Q18" s="171">
        <v>5297746</v>
      </c>
      <c r="R18" s="171">
        <v>5297746</v>
      </c>
      <c r="S18" s="172">
        <v>52357</v>
      </c>
      <c r="T18" s="172"/>
      <c r="U18" s="172"/>
      <c r="V18" s="173">
        <v>2015</v>
      </c>
      <c r="W18" s="173">
        <f t="shared" si="6"/>
        <v>2015</v>
      </c>
      <c r="X18" s="173">
        <f t="shared" si="7"/>
        <v>2015</v>
      </c>
      <c r="Y18" s="175">
        <v>60000</v>
      </c>
      <c r="Z18" s="175">
        <v>60000</v>
      </c>
      <c r="AA18" s="175">
        <v>60000</v>
      </c>
      <c r="AB18" s="170"/>
      <c r="AC18" s="170"/>
      <c r="AD18" s="170"/>
      <c r="AE18" s="186">
        <f t="shared" si="8"/>
        <v>5602118.0000000009</v>
      </c>
      <c r="AF18" s="186">
        <f t="shared" si="9"/>
        <v>5359761</v>
      </c>
      <c r="AG18" s="186">
        <f t="shared" si="10"/>
        <v>5359761</v>
      </c>
    </row>
    <row r="19" spans="1:33" ht="25.5" x14ac:dyDescent="0.25">
      <c r="A19" s="187" t="s">
        <v>168</v>
      </c>
      <c r="B19" s="165">
        <f>'ИБР_общий, БО, дотации'!V21</f>
        <v>415.95739348074505</v>
      </c>
      <c r="C19" s="166">
        <v>415957</v>
      </c>
      <c r="D19" s="166">
        <v>332766</v>
      </c>
      <c r="E19" s="166">
        <f t="shared" si="3"/>
        <v>332766</v>
      </c>
      <c r="F19" s="189">
        <f>'ИБР_общий, БО, дотации'!R21</f>
        <v>1558.0765248299231</v>
      </c>
      <c r="G19" s="166">
        <v>1558077</v>
      </c>
      <c r="H19" s="166">
        <f t="shared" si="4"/>
        <v>1558077</v>
      </c>
      <c r="I19" s="166">
        <f t="shared" si="5"/>
        <v>1558077</v>
      </c>
      <c r="J19" s="167">
        <v>420146</v>
      </c>
      <c r="K19" s="168">
        <v>429085</v>
      </c>
      <c r="L19" s="169">
        <v>439926</v>
      </c>
      <c r="M19" s="170">
        <f t="shared" si="0"/>
        <v>1680180</v>
      </c>
      <c r="N19" s="170">
        <f t="shared" si="1"/>
        <v>1754432</v>
      </c>
      <c r="O19" s="170">
        <f t="shared" si="2"/>
        <v>1743591</v>
      </c>
      <c r="P19" s="171">
        <f>'прогноз расходов'!F19*1000</f>
        <v>4074360</v>
      </c>
      <c r="Q19" s="171">
        <v>4074360</v>
      </c>
      <c r="R19" s="171">
        <v>4074360</v>
      </c>
      <c r="S19" s="172">
        <v>52357</v>
      </c>
      <c r="T19" s="172"/>
      <c r="U19" s="172"/>
      <c r="V19" s="173">
        <v>1316</v>
      </c>
      <c r="W19" s="173">
        <f t="shared" si="6"/>
        <v>1316</v>
      </c>
      <c r="X19" s="173">
        <f t="shared" si="7"/>
        <v>1316</v>
      </c>
      <c r="Y19" s="175">
        <v>36000</v>
      </c>
      <c r="Z19" s="175">
        <v>36000</v>
      </c>
      <c r="AA19" s="175">
        <v>36000</v>
      </c>
      <c r="AB19" s="170"/>
      <c r="AC19" s="170"/>
      <c r="AD19" s="170"/>
      <c r="AE19" s="186">
        <f t="shared" si="8"/>
        <v>4164033</v>
      </c>
      <c r="AF19" s="186">
        <f t="shared" si="9"/>
        <v>4111676</v>
      </c>
      <c r="AG19" s="186">
        <f t="shared" si="10"/>
        <v>4111676</v>
      </c>
    </row>
    <row r="20" spans="1:33" ht="25.5" x14ac:dyDescent="0.25">
      <c r="A20" s="187" t="s">
        <v>169</v>
      </c>
      <c r="B20" s="165">
        <f>'ИБР_общий, БО, дотации'!V22</f>
        <v>485.55087330954552</v>
      </c>
      <c r="C20" s="166">
        <v>485550</v>
      </c>
      <c r="D20" s="166">
        <v>388441</v>
      </c>
      <c r="E20" s="166">
        <f t="shared" si="3"/>
        <v>388441</v>
      </c>
      <c r="F20" s="189">
        <f>'ИБР_общий, БО, дотации'!R22</f>
        <v>401.20619628160091</v>
      </c>
      <c r="G20" s="166">
        <v>401206</v>
      </c>
      <c r="H20" s="166">
        <f t="shared" si="4"/>
        <v>401206</v>
      </c>
      <c r="I20" s="166">
        <f t="shared" si="5"/>
        <v>401206</v>
      </c>
      <c r="J20" s="167">
        <v>281954</v>
      </c>
      <c r="K20" s="168">
        <v>290994</v>
      </c>
      <c r="L20" s="169">
        <v>301915</v>
      </c>
      <c r="M20" s="170">
        <f t="shared" si="0"/>
        <v>2222110</v>
      </c>
      <c r="N20" s="170">
        <f t="shared" si="1"/>
        <v>2310179</v>
      </c>
      <c r="O20" s="170">
        <f t="shared" si="2"/>
        <v>2299258</v>
      </c>
      <c r="P20" s="171">
        <f>'прогноз расходов'!F20*1000</f>
        <v>3390820</v>
      </c>
      <c r="Q20" s="171">
        <v>3390820</v>
      </c>
      <c r="R20" s="171">
        <v>3390820</v>
      </c>
      <c r="S20" s="172">
        <v>52357</v>
      </c>
      <c r="T20" s="172"/>
      <c r="U20" s="172"/>
      <c r="V20" s="173">
        <v>1161</v>
      </c>
      <c r="W20" s="173">
        <f t="shared" si="6"/>
        <v>1161</v>
      </c>
      <c r="X20" s="173">
        <f t="shared" si="7"/>
        <v>1161</v>
      </c>
      <c r="Y20" s="175"/>
      <c r="Z20" s="175"/>
      <c r="AA20" s="175"/>
      <c r="AB20" s="170"/>
      <c r="AC20" s="170"/>
      <c r="AD20" s="170"/>
      <c r="AE20" s="186">
        <f t="shared" si="8"/>
        <v>3444338</v>
      </c>
      <c r="AF20" s="186">
        <f t="shared" si="9"/>
        <v>3391981</v>
      </c>
      <c r="AG20" s="186">
        <f t="shared" si="10"/>
        <v>3391981</v>
      </c>
    </row>
    <row r="21" spans="1:33" s="117" customFormat="1" ht="15" thickBot="1" x14ac:dyDescent="0.25">
      <c r="A21" s="180" t="s">
        <v>153</v>
      </c>
      <c r="B21" s="181">
        <f t="shared" ref="B21:O21" si="11">SUM(B5:B20)</f>
        <v>11532.500000000002</v>
      </c>
      <c r="C21" s="182">
        <f t="shared" si="11"/>
        <v>11532500</v>
      </c>
      <c r="D21" s="182">
        <f t="shared" si="11"/>
        <v>9226000</v>
      </c>
      <c r="E21" s="182">
        <f t="shared" si="11"/>
        <v>9226000</v>
      </c>
      <c r="F21" s="181">
        <f t="shared" si="11"/>
        <v>8925.9480600000061</v>
      </c>
      <c r="G21" s="182">
        <f t="shared" si="11"/>
        <v>8925948</v>
      </c>
      <c r="H21" s="182">
        <f t="shared" si="11"/>
        <v>8925948</v>
      </c>
      <c r="I21" s="182">
        <f t="shared" si="11"/>
        <v>8925948</v>
      </c>
      <c r="J21" s="183">
        <f>SUM(J5:J20)</f>
        <v>15543712</v>
      </c>
      <c r="K21" s="183">
        <f>SUM(K5:K20)</f>
        <v>16062084</v>
      </c>
      <c r="L21" s="183">
        <f>SUM(L5:L20)</f>
        <v>16666866</v>
      </c>
      <c r="M21" s="182">
        <f t="shared" si="11"/>
        <v>40686272</v>
      </c>
      <c r="N21" s="182">
        <f t="shared" si="11"/>
        <v>41219547</v>
      </c>
      <c r="O21" s="182">
        <f t="shared" si="11"/>
        <v>41032956</v>
      </c>
      <c r="P21" s="184">
        <f t="shared" ref="P21:AF21" si="12">SUM(P5:P20)</f>
        <v>76688432</v>
      </c>
      <c r="Q21" s="184">
        <f t="shared" si="12"/>
        <v>75433579</v>
      </c>
      <c r="R21" s="184">
        <f t="shared" si="12"/>
        <v>75851770</v>
      </c>
      <c r="S21" s="182">
        <f t="shared" si="12"/>
        <v>659700</v>
      </c>
      <c r="T21" s="182">
        <f t="shared" si="12"/>
        <v>0</v>
      </c>
      <c r="U21" s="182">
        <f t="shared" si="12"/>
        <v>0</v>
      </c>
      <c r="V21" s="182">
        <f t="shared" si="12"/>
        <v>37900</v>
      </c>
      <c r="W21" s="182">
        <f t="shared" si="12"/>
        <v>37900</v>
      </c>
      <c r="X21" s="182">
        <f t="shared" si="12"/>
        <v>37900</v>
      </c>
      <c r="Y21" s="182">
        <f t="shared" si="12"/>
        <v>232000</v>
      </c>
      <c r="Z21" s="182">
        <f t="shared" si="12"/>
        <v>232000</v>
      </c>
      <c r="AA21" s="182">
        <f t="shared" si="12"/>
        <v>232000</v>
      </c>
      <c r="AB21" s="181">
        <f t="shared" si="12"/>
        <v>0</v>
      </c>
      <c r="AC21" s="181">
        <f t="shared" si="12"/>
        <v>0</v>
      </c>
      <c r="AD21" s="181">
        <f t="shared" si="12"/>
        <v>0</v>
      </c>
      <c r="AE21" s="185">
        <f t="shared" si="12"/>
        <v>77618032</v>
      </c>
      <c r="AF21" s="185">
        <f t="shared" si="12"/>
        <v>75703479</v>
      </c>
      <c r="AG21" s="186">
        <f t="shared" si="10"/>
        <v>76121670</v>
      </c>
    </row>
    <row r="23" spans="1:33" x14ac:dyDescent="0.2">
      <c r="J23" s="118"/>
    </row>
    <row r="25" spans="1:33" x14ac:dyDescent="0.2">
      <c r="C25" s="120">
        <f>C21+D21+E21</f>
        <v>29984500</v>
      </c>
      <c r="D25" s="120">
        <f>C21+G21+M21</f>
        <v>61144720</v>
      </c>
    </row>
    <row r="26" spans="1:33" x14ac:dyDescent="0.2">
      <c r="C26" s="120">
        <f>G21+H21+I21</f>
        <v>26777844</v>
      </c>
      <c r="D26" s="120">
        <f>D21+G21+N21</f>
        <v>59371495</v>
      </c>
      <c r="L26" s="120">
        <f>C21+G21+M21+S21+V21+Y21</f>
        <v>62074320</v>
      </c>
      <c r="M26" s="120">
        <f>D21+H21+N21+T21+W21+Z21</f>
        <v>59641395</v>
      </c>
      <c r="N26" s="120">
        <f>E21+I21+O21+U21+X21+AA21</f>
        <v>59454804</v>
      </c>
    </row>
    <row r="27" spans="1:33" x14ac:dyDescent="0.2">
      <c r="C27" s="120">
        <f>M21+N21+O21</f>
        <v>122938775</v>
      </c>
      <c r="D27" s="120">
        <f>E21+I21+O21</f>
        <v>59184904</v>
      </c>
    </row>
    <row r="28" spans="1:33" x14ac:dyDescent="0.2">
      <c r="C28" s="120">
        <f>SUM(C25:C27)</f>
        <v>179701119</v>
      </c>
      <c r="D28" s="120">
        <f>SUM(D25:D27)</f>
        <v>179701119</v>
      </c>
    </row>
  </sheetData>
  <mergeCells count="11">
    <mergeCell ref="AE3:AG3"/>
    <mergeCell ref="M3:O3"/>
    <mergeCell ref="S3:U3"/>
    <mergeCell ref="P3:R3"/>
    <mergeCell ref="V3:X3"/>
    <mergeCell ref="Y3:AA3"/>
    <mergeCell ref="A3:A4"/>
    <mergeCell ref="C3:E3"/>
    <mergeCell ref="G3:I3"/>
    <mergeCell ref="J3:L3"/>
    <mergeCell ref="AB3:AD3"/>
  </mergeCells>
  <phoneticPr fontId="12" type="noConversion"/>
  <pageMargins left="0" right="0" top="0.15748031496062992" bottom="0.15748031496062992" header="0.31496062992125984" footer="0.31496062992125984"/>
  <pageSetup paperSize="9" scale="40" orientation="landscape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view="pageBreakPreview" zoomScaleNormal="100" workbookViewId="0">
      <selection activeCell="D16" sqref="D16"/>
    </sheetView>
  </sheetViews>
  <sheetFormatPr defaultRowHeight="12.75" x14ac:dyDescent="0.2"/>
  <cols>
    <col min="1" max="1" width="27.42578125" style="1" customWidth="1"/>
    <col min="2" max="2" width="10.28515625" style="1" customWidth="1"/>
    <col min="3" max="3" width="11.5703125" style="1" customWidth="1"/>
    <col min="4" max="7" width="10.28515625" style="1" customWidth="1"/>
    <col min="8" max="16384" width="9.140625" style="1"/>
  </cols>
  <sheetData>
    <row r="1" spans="1:8" ht="39.75" customHeight="1" x14ac:dyDescent="0.2">
      <c r="A1" s="192" t="s">
        <v>172</v>
      </c>
      <c r="B1" s="192"/>
      <c r="C1" s="192"/>
      <c r="D1" s="192"/>
      <c r="E1" s="192"/>
      <c r="F1" s="192"/>
      <c r="G1" s="192"/>
    </row>
    <row r="2" spans="1:8" ht="42" x14ac:dyDescent="0.2">
      <c r="A2" s="2" t="s">
        <v>30</v>
      </c>
      <c r="B2" s="2" t="s">
        <v>42</v>
      </c>
      <c r="C2" s="2" t="s">
        <v>43</v>
      </c>
      <c r="D2" s="2" t="s">
        <v>44</v>
      </c>
      <c r="E2" s="2" t="s">
        <v>45</v>
      </c>
      <c r="F2" s="2" t="s">
        <v>129</v>
      </c>
      <c r="G2" s="2" t="s">
        <v>41</v>
      </c>
    </row>
    <row r="3" spans="1:8" x14ac:dyDescent="0.2">
      <c r="A3" s="2" t="s">
        <v>27</v>
      </c>
      <c r="B3" s="2">
        <v>2017</v>
      </c>
      <c r="C3" s="2">
        <v>2017</v>
      </c>
      <c r="D3" s="2">
        <v>2017</v>
      </c>
      <c r="E3" s="2">
        <v>2017</v>
      </c>
      <c r="F3" s="2">
        <v>2017</v>
      </c>
      <c r="G3" s="2">
        <v>2017</v>
      </c>
    </row>
    <row r="4" spans="1:8" x14ac:dyDescent="0.2">
      <c r="A4" s="2" t="s">
        <v>28</v>
      </c>
      <c r="B4" s="2" t="s">
        <v>39</v>
      </c>
      <c r="C4" s="2" t="s">
        <v>39</v>
      </c>
      <c r="D4" s="2" t="s">
        <v>39</v>
      </c>
      <c r="E4" s="2" t="s">
        <v>39</v>
      </c>
      <c r="F4" s="2" t="s">
        <v>39</v>
      </c>
      <c r="G4" s="2" t="s">
        <v>39</v>
      </c>
    </row>
    <row r="5" spans="1:8" x14ac:dyDescent="0.2">
      <c r="A5" s="6" t="str">
        <f>'Исходные данные'!A6</f>
        <v>Большекнышинский сельсовет</v>
      </c>
      <c r="B5" s="140">
        <v>141.232</v>
      </c>
      <c r="C5" s="141">
        <v>2.621</v>
      </c>
      <c r="D5" s="142">
        <v>16.178999999999998</v>
      </c>
      <c r="E5" s="125"/>
      <c r="F5" s="143">
        <f>'ИБР_общий, БО, дотации'!V7</f>
        <v>617.15455284272889</v>
      </c>
      <c r="G5" s="17">
        <f>SUM(B5:F5)</f>
        <v>777.18655284272893</v>
      </c>
      <c r="H5" s="22"/>
    </row>
    <row r="6" spans="1:8" x14ac:dyDescent="0.2">
      <c r="A6" s="6" t="str">
        <f>'Исходные данные'!A7</f>
        <v>Большесалбинский сельсовет</v>
      </c>
      <c r="B6" s="140">
        <v>48.531999999999996</v>
      </c>
      <c r="C6" s="141">
        <v>2.621</v>
      </c>
      <c r="D6" s="142">
        <v>23.806999999999999</v>
      </c>
      <c r="E6" s="125"/>
      <c r="F6" s="143">
        <f>'ИБР_общий, БО, дотации'!V8</f>
        <v>349.04994468301879</v>
      </c>
      <c r="G6" s="17">
        <f t="shared" ref="G6:G20" si="0">SUM(B6:F6)</f>
        <v>424.00994468301877</v>
      </c>
      <c r="H6" s="22"/>
    </row>
    <row r="7" spans="1:8" x14ac:dyDescent="0.2">
      <c r="A7" s="6" t="str">
        <f>'Исходные данные'!A8</f>
        <v>Большетелекский сельсовет</v>
      </c>
      <c r="B7" s="140">
        <v>185.25399999999999</v>
      </c>
      <c r="C7" s="141">
        <v>9.173</v>
      </c>
      <c r="D7" s="142">
        <v>307.07100000000003</v>
      </c>
      <c r="E7" s="125"/>
      <c r="F7" s="143">
        <f>'ИБР_общий, БО, дотации'!V9</f>
        <v>329.78038060764078</v>
      </c>
      <c r="G7" s="17">
        <f t="shared" si="0"/>
        <v>831.27838060764088</v>
      </c>
      <c r="H7" s="22"/>
    </row>
    <row r="8" spans="1:8" x14ac:dyDescent="0.2">
      <c r="A8" s="6" t="str">
        <f>'Исходные данные'!A9</f>
        <v>Большехабыкский сельсовет</v>
      </c>
      <c r="B8" s="140">
        <v>226.24799999999999</v>
      </c>
      <c r="C8" s="141">
        <v>5.242</v>
      </c>
      <c r="D8" s="142">
        <v>78.638000000000005</v>
      </c>
      <c r="E8" s="125"/>
      <c r="F8" s="143">
        <f>'ИБР_общий, БО, дотации'!V10</f>
        <v>514.29196585312729</v>
      </c>
      <c r="G8" s="17">
        <f t="shared" si="0"/>
        <v>824.41996585312722</v>
      </c>
      <c r="H8" s="22"/>
    </row>
    <row r="9" spans="1:8" x14ac:dyDescent="0.2">
      <c r="A9" s="6" t="str">
        <f>'Исходные данные'!A10</f>
        <v>Добромысловский сельсовет</v>
      </c>
      <c r="B9" s="140">
        <v>232.559</v>
      </c>
      <c r="C9" s="141">
        <v>24.896999999999998</v>
      </c>
      <c r="D9" s="142">
        <v>118.837</v>
      </c>
      <c r="E9" s="125"/>
      <c r="F9" s="143">
        <f>'ИБР_общий, БО, дотации'!V11</f>
        <v>822.9100790322783</v>
      </c>
      <c r="G9" s="17">
        <f t="shared" si="0"/>
        <v>1199.2030790322783</v>
      </c>
      <c r="H9" s="22"/>
    </row>
    <row r="10" spans="1:8" x14ac:dyDescent="0.2">
      <c r="A10" s="6" t="str">
        <f>'Исходные данные'!A11</f>
        <v>Екатерининский сельсовет</v>
      </c>
      <c r="B10" s="140">
        <v>212.88300000000001</v>
      </c>
      <c r="C10" s="141">
        <v>13.103999999999999</v>
      </c>
      <c r="D10" s="142">
        <v>83.888999999999996</v>
      </c>
      <c r="E10" s="125"/>
      <c r="F10" s="143">
        <f>'ИБР_общий, БО, дотации'!V12</f>
        <v>708.67455212564948</v>
      </c>
      <c r="G10" s="17">
        <f t="shared" si="0"/>
        <v>1018.5505521256496</v>
      </c>
      <c r="H10" s="22"/>
    </row>
    <row r="11" spans="1:8" x14ac:dyDescent="0.2">
      <c r="A11" s="6" t="str">
        <f>'Исходные данные'!A12</f>
        <v>Идринский сельсовет</v>
      </c>
      <c r="B11" s="140">
        <v>6393.5410000000002</v>
      </c>
      <c r="C11" s="141">
        <v>754.78700000000003</v>
      </c>
      <c r="D11" s="142">
        <v>939.428</v>
      </c>
      <c r="E11" s="125"/>
      <c r="F11" s="143">
        <f>'ИБР_общий, БО, дотации'!V13</f>
        <v>3603.7650898285392</v>
      </c>
      <c r="G11" s="17">
        <f>SUM(B11:F11)</f>
        <v>11691.52108982854</v>
      </c>
      <c r="H11" s="22"/>
    </row>
    <row r="12" spans="1:8" x14ac:dyDescent="0.2">
      <c r="A12" s="6" t="str">
        <f>'Исходные данные'!A13</f>
        <v>Курежский сельсовет</v>
      </c>
      <c r="B12" s="140">
        <v>147.19900000000001</v>
      </c>
      <c r="C12" s="141">
        <v>14.414</v>
      </c>
      <c r="D12" s="142">
        <v>69.001999999999995</v>
      </c>
      <c r="E12" s="125"/>
      <c r="F12" s="143">
        <f>'ИБР_общий, БО, дотации'!V14</f>
        <v>383.64583624284984</v>
      </c>
      <c r="G12" s="17">
        <f t="shared" si="0"/>
        <v>614.26083624284979</v>
      </c>
      <c r="H12" s="22"/>
    </row>
    <row r="13" spans="1:8" x14ac:dyDescent="0.2">
      <c r="A13" s="6" t="str">
        <f>'Исходные данные'!A14</f>
        <v>Майский сельсовет</v>
      </c>
      <c r="B13" s="140">
        <v>227.40700000000001</v>
      </c>
      <c r="C13" s="141">
        <v>45.863999999999997</v>
      </c>
      <c r="D13" s="142">
        <v>36.847999999999999</v>
      </c>
      <c r="E13" s="125"/>
      <c r="F13" s="143">
        <f>'ИБР_общий, БО, дотации'!V15</f>
        <v>355.11604569499934</v>
      </c>
      <c r="G13" s="17">
        <f t="shared" si="0"/>
        <v>665.23504569499937</v>
      </c>
      <c r="H13" s="22"/>
    </row>
    <row r="14" spans="1:8" x14ac:dyDescent="0.2">
      <c r="A14" s="6" t="str">
        <f>'Исходные данные'!A15</f>
        <v>Малохабыкский сельсовет</v>
      </c>
      <c r="B14" s="140">
        <v>120.649</v>
      </c>
      <c r="C14" s="141">
        <v>9.173</v>
      </c>
      <c r="D14" s="142">
        <v>81.03</v>
      </c>
      <c r="E14" s="125"/>
      <c r="F14" s="143">
        <f>'ИБР_общий, БО, дотации'!V16</f>
        <v>229.55490409812847</v>
      </c>
      <c r="G14" s="17">
        <f t="shared" si="0"/>
        <v>440.40690409812851</v>
      </c>
      <c r="H14" s="22"/>
    </row>
    <row r="15" spans="1:8" x14ac:dyDescent="0.2">
      <c r="A15" s="6" t="str">
        <f>'Исходные данные'!A16</f>
        <v>Никольский сельсовет</v>
      </c>
      <c r="B15" s="140">
        <v>211.56399999999999</v>
      </c>
      <c r="C15" s="141">
        <v>32.76</v>
      </c>
      <c r="D15" s="142">
        <v>62.222999999999999</v>
      </c>
      <c r="E15" s="125"/>
      <c r="F15" s="143">
        <f>'ИБР_общий, БО, дотации'!V17</f>
        <v>780.88970536756119</v>
      </c>
      <c r="G15" s="17">
        <f t="shared" si="0"/>
        <v>1087.4367053675612</v>
      </c>
      <c r="H15" s="22"/>
    </row>
    <row r="16" spans="1:8" x14ac:dyDescent="0.2">
      <c r="A16" s="6" t="str">
        <f>'Исходные данные'!A17</f>
        <v>Новоберезовский сельсовет</v>
      </c>
      <c r="B16" s="140">
        <v>141.34299999999999</v>
      </c>
      <c r="C16" s="141">
        <v>11.794</v>
      </c>
      <c r="D16" s="142">
        <v>67.986999999999995</v>
      </c>
      <c r="E16" s="125"/>
      <c r="F16" s="143">
        <f>'ИБР_общий, БО, дотации'!V18</f>
        <v>708.92762892670282</v>
      </c>
      <c r="G16" s="17">
        <f t="shared" si="0"/>
        <v>930.05162892670285</v>
      </c>
      <c r="H16" s="22"/>
    </row>
    <row r="17" spans="1:8" x14ac:dyDescent="0.2">
      <c r="A17" s="6" t="str">
        <f>'Исходные данные'!A18</f>
        <v>Новотроицкий сельсовет</v>
      </c>
      <c r="B17" s="140">
        <v>108.283</v>
      </c>
      <c r="C17" s="141">
        <v>9.173</v>
      </c>
      <c r="D17" s="142">
        <v>20.719000000000001</v>
      </c>
      <c r="E17" s="125"/>
      <c r="F17" s="143">
        <f>'ИБР_общий, БО, дотации'!V19</f>
        <v>372.48221681933302</v>
      </c>
      <c r="G17" s="17">
        <f t="shared" si="0"/>
        <v>510.65721681933303</v>
      </c>
      <c r="H17" s="22"/>
    </row>
    <row r="18" spans="1:8" x14ac:dyDescent="0.2">
      <c r="A18" s="6" t="str">
        <f>'Исходные данные'!A19</f>
        <v>Отрокский сельсовет</v>
      </c>
      <c r="B18" s="140">
        <v>268.48099999999999</v>
      </c>
      <c r="C18" s="141">
        <v>31.449000000000002</v>
      </c>
      <c r="D18" s="142">
        <v>45.68</v>
      </c>
      <c r="E18" s="125"/>
      <c r="F18" s="143">
        <f>'ИБР_общий, БО, дотации'!V20</f>
        <v>854.7488310871521</v>
      </c>
      <c r="G18" s="17">
        <f t="shared" si="0"/>
        <v>1200.3588310871521</v>
      </c>
      <c r="H18" s="22"/>
    </row>
    <row r="19" spans="1:8" x14ac:dyDescent="0.2">
      <c r="A19" s="6" t="str">
        <f>'Исходные данные'!A20</f>
        <v>Романовский сельсовет</v>
      </c>
      <c r="B19" s="140">
        <v>165.68700000000001</v>
      </c>
      <c r="C19" s="141">
        <v>5.242</v>
      </c>
      <c r="D19" s="142">
        <v>13.839</v>
      </c>
      <c r="E19" s="125"/>
      <c r="F19" s="143">
        <f>'ИБР_общий, БО, дотации'!V21</f>
        <v>415.95739348074505</v>
      </c>
      <c r="G19" s="17">
        <f t="shared" si="0"/>
        <v>600.72539348074508</v>
      </c>
      <c r="H19" s="22"/>
    </row>
    <row r="20" spans="1:8" x14ac:dyDescent="0.2">
      <c r="A20" s="6" t="str">
        <f>'Исходные данные'!A21</f>
        <v>Центральный сельсовет</v>
      </c>
      <c r="B20" s="140">
        <v>163.30699999999999</v>
      </c>
      <c r="C20" s="141">
        <v>5.242</v>
      </c>
      <c r="D20" s="142">
        <v>19.934999999999999</v>
      </c>
      <c r="E20" s="125"/>
      <c r="F20" s="143">
        <f>'ИБР_общий, БО, дотации'!V22</f>
        <v>485.55087330954552</v>
      </c>
      <c r="G20" s="17">
        <f t="shared" si="0"/>
        <v>674.03487330954545</v>
      </c>
      <c r="H20" s="22"/>
    </row>
    <row r="21" spans="1:8" x14ac:dyDescent="0.2">
      <c r="A21" s="10" t="s">
        <v>31</v>
      </c>
      <c r="B21" s="134">
        <f t="shared" ref="B21:G21" si="1">SUM(B5:B20)</f>
        <v>8994.1689999999999</v>
      </c>
      <c r="C21" s="134">
        <f t="shared" si="1"/>
        <v>977.55599999999993</v>
      </c>
      <c r="D21" s="134">
        <f t="shared" si="1"/>
        <v>1985.1120000000001</v>
      </c>
      <c r="E21" s="110">
        <f t="shared" si="1"/>
        <v>0</v>
      </c>
      <c r="F21" s="111">
        <f>SUM(F5:F20)</f>
        <v>11532.500000000002</v>
      </c>
      <c r="G21" s="111">
        <f t="shared" si="1"/>
        <v>23489.337000000007</v>
      </c>
    </row>
    <row r="22" spans="1:8" x14ac:dyDescent="0.2">
      <c r="B22" s="84"/>
      <c r="C22" s="84"/>
      <c r="E22" s="193"/>
      <c r="F22" s="193"/>
      <c r="G22" s="193"/>
    </row>
    <row r="23" spans="1:8" ht="42" customHeight="1" x14ac:dyDescent="0.2">
      <c r="A23" s="191" t="s">
        <v>47</v>
      </c>
      <c r="B23" s="191"/>
      <c r="C23" s="191"/>
      <c r="E23" s="86"/>
    </row>
    <row r="24" spans="1:8" ht="42" customHeight="1" x14ac:dyDescent="0.2">
      <c r="A24" s="19"/>
      <c r="B24" s="18" t="s">
        <v>29</v>
      </c>
      <c r="C24" s="19" t="s">
        <v>48</v>
      </c>
    </row>
    <row r="25" spans="1:8" ht="31.5" x14ac:dyDescent="0.2">
      <c r="A25" s="31" t="s">
        <v>42</v>
      </c>
      <c r="B25" s="20" t="s">
        <v>7</v>
      </c>
      <c r="C25" s="97">
        <f>B21/G$21</f>
        <v>0.38290433655066541</v>
      </c>
    </row>
    <row r="26" spans="1:8" ht="31.5" x14ac:dyDescent="0.2">
      <c r="A26" s="31" t="s">
        <v>43</v>
      </c>
      <c r="B26" s="20" t="s">
        <v>8</v>
      </c>
      <c r="C26" s="97">
        <f>C21/G21</f>
        <v>4.1617011157019872E-2</v>
      </c>
    </row>
    <row r="27" spans="1:8" ht="31.5" x14ac:dyDescent="0.2">
      <c r="A27" s="31" t="s">
        <v>46</v>
      </c>
      <c r="B27" s="20" t="s">
        <v>49</v>
      </c>
      <c r="C27" s="97">
        <f>(D21+E21)/G21</f>
        <v>8.4511197570199592E-2</v>
      </c>
    </row>
    <row r="28" spans="1:8" ht="31.5" x14ac:dyDescent="0.2">
      <c r="A28" s="31" t="s">
        <v>129</v>
      </c>
      <c r="B28" s="20" t="s">
        <v>24</v>
      </c>
      <c r="C28" s="97">
        <f>F21/G21</f>
        <v>0.49096745472211489</v>
      </c>
    </row>
    <row r="29" spans="1:8" ht="31.5" x14ac:dyDescent="0.2">
      <c r="A29" s="31" t="s">
        <v>41</v>
      </c>
      <c r="B29" s="20"/>
      <c r="C29" s="97">
        <f>SUM(C25:C28)</f>
        <v>0.99999999999999978</v>
      </c>
    </row>
  </sheetData>
  <mergeCells count="3">
    <mergeCell ref="A23:C23"/>
    <mergeCell ref="A1:G1"/>
    <mergeCell ref="E22:G22"/>
  </mergeCells>
  <phoneticPr fontId="3" type="noConversion"/>
  <pageMargins left="0.75" right="0.75" top="1" bottom="1" header="0.5" footer="0.5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view="pageBreakPreview" zoomScaleNormal="100" workbookViewId="0">
      <selection activeCell="F11" sqref="F11"/>
    </sheetView>
  </sheetViews>
  <sheetFormatPr defaultRowHeight="12.75" x14ac:dyDescent="0.2"/>
  <cols>
    <col min="1" max="1" width="31.42578125" style="1" customWidth="1"/>
    <col min="2" max="2" width="10.28515625" style="1" customWidth="1"/>
    <col min="3" max="4" width="11.5703125" style="1" customWidth="1"/>
    <col min="5" max="5" width="10.28515625" style="1" customWidth="1"/>
    <col min="6" max="6" width="12.7109375" style="1" customWidth="1"/>
    <col min="7" max="7" width="13" style="1" customWidth="1"/>
    <col min="8" max="16384" width="9.140625" style="1"/>
  </cols>
  <sheetData>
    <row r="1" spans="1:7" ht="39.75" customHeight="1" x14ac:dyDescent="0.2">
      <c r="A1" s="192" t="s">
        <v>73</v>
      </c>
      <c r="B1" s="192"/>
      <c r="C1" s="192"/>
      <c r="D1" s="192"/>
      <c r="E1" s="192"/>
      <c r="F1" s="192"/>
    </row>
    <row r="2" spans="1:7" ht="31.5" x14ac:dyDescent="0.2">
      <c r="A2" s="2" t="s">
        <v>30</v>
      </c>
      <c r="B2" s="2" t="s">
        <v>69</v>
      </c>
      <c r="C2" s="2" t="s">
        <v>70</v>
      </c>
      <c r="D2" s="2" t="s">
        <v>118</v>
      </c>
      <c r="E2" s="2" t="s">
        <v>72</v>
      </c>
      <c r="F2" s="2" t="s">
        <v>71</v>
      </c>
    </row>
    <row r="3" spans="1:7" x14ac:dyDescent="0.2">
      <c r="A3" s="2" t="s">
        <v>27</v>
      </c>
      <c r="B3" s="2">
        <v>2017</v>
      </c>
      <c r="C3" s="2">
        <v>2017</v>
      </c>
      <c r="D3" s="2">
        <v>2017</v>
      </c>
      <c r="E3" s="2">
        <v>2017</v>
      </c>
      <c r="F3" s="2">
        <v>2017</v>
      </c>
    </row>
    <row r="4" spans="1:7" x14ac:dyDescent="0.2">
      <c r="A4" s="2" t="s">
        <v>28</v>
      </c>
      <c r="B4" s="2" t="s">
        <v>39</v>
      </c>
      <c r="C4" s="2" t="s">
        <v>39</v>
      </c>
      <c r="D4" s="2" t="s">
        <v>39</v>
      </c>
      <c r="E4" s="2" t="s">
        <v>39</v>
      </c>
      <c r="F4" s="2" t="s">
        <v>39</v>
      </c>
    </row>
    <row r="5" spans="1:7" x14ac:dyDescent="0.2">
      <c r="A5" s="6" t="str">
        <f>'Исходные данные'!A6</f>
        <v>Большекнышинский сельсовет</v>
      </c>
      <c r="B5" s="152">
        <v>1445.9839999999999</v>
      </c>
      <c r="C5" s="153">
        <v>21.17</v>
      </c>
      <c r="D5" s="154">
        <v>995.57</v>
      </c>
      <c r="E5" s="154">
        <v>1095.6880000000001</v>
      </c>
      <c r="F5" s="155">
        <f>SUM(B5:E5)</f>
        <v>3558.4120000000003</v>
      </c>
      <c r="G5" s="102"/>
    </row>
    <row r="6" spans="1:7" x14ac:dyDescent="0.2">
      <c r="A6" s="6" t="str">
        <f>'Исходные данные'!A7</f>
        <v>Большесалбинский сельсовет</v>
      </c>
      <c r="B6" s="152">
        <v>3113.0059999999999</v>
      </c>
      <c r="C6" s="153">
        <v>82.757000000000005</v>
      </c>
      <c r="D6" s="154">
        <v>1409.433</v>
      </c>
      <c r="E6" s="154">
        <v>335.166</v>
      </c>
      <c r="F6" s="155">
        <f t="shared" ref="F6:F20" si="0">SUM(B6:E6)</f>
        <v>4940.3620000000001</v>
      </c>
      <c r="G6" s="102"/>
    </row>
    <row r="7" spans="1:7" x14ac:dyDescent="0.2">
      <c r="A7" s="6" t="str">
        <f>'Исходные данные'!A8</f>
        <v>Большетелекский сельсовет</v>
      </c>
      <c r="B7" s="152">
        <v>1462.1679999999999</v>
      </c>
      <c r="C7" s="153">
        <v>118.527</v>
      </c>
      <c r="D7" s="154">
        <v>1514.7239999999999</v>
      </c>
      <c r="E7" s="154">
        <v>103.676</v>
      </c>
      <c r="F7" s="155">
        <f t="shared" si="0"/>
        <v>3199.0949999999998</v>
      </c>
      <c r="G7" s="102"/>
    </row>
    <row r="8" spans="1:7" x14ac:dyDescent="0.2">
      <c r="A8" s="6" t="str">
        <f>'Исходные данные'!A9</f>
        <v>Большехабыкский сельсовет</v>
      </c>
      <c r="B8" s="152">
        <v>1735.51</v>
      </c>
      <c r="C8" s="153">
        <v>108.33199999999999</v>
      </c>
      <c r="D8" s="154">
        <v>1782.4010000000001</v>
      </c>
      <c r="E8" s="154">
        <v>175.65</v>
      </c>
      <c r="F8" s="155">
        <f t="shared" si="0"/>
        <v>3801.8930000000005</v>
      </c>
      <c r="G8" s="102"/>
    </row>
    <row r="9" spans="1:7" x14ac:dyDescent="0.2">
      <c r="A9" s="6" t="str">
        <f>'Исходные данные'!A10</f>
        <v>Добромысловский сельсовет</v>
      </c>
      <c r="B9" s="152">
        <v>2147.8850000000002</v>
      </c>
      <c r="C9" s="153">
        <v>87.888999999999996</v>
      </c>
      <c r="D9" s="154">
        <v>3539.4749999999999</v>
      </c>
      <c r="E9" s="154">
        <v>239.767</v>
      </c>
      <c r="F9" s="155">
        <f t="shared" si="0"/>
        <v>6015.0159999999996</v>
      </c>
      <c r="G9" s="102"/>
    </row>
    <row r="10" spans="1:7" x14ac:dyDescent="0.2">
      <c r="A10" s="6" t="str">
        <f>'Исходные данные'!A11</f>
        <v>Екатерининский сельсовет</v>
      </c>
      <c r="B10" s="152">
        <v>1527.5989999999999</v>
      </c>
      <c r="C10" s="153">
        <v>92.38</v>
      </c>
      <c r="D10" s="154">
        <v>2623.41</v>
      </c>
      <c r="E10" s="154">
        <v>179.05500000000001</v>
      </c>
      <c r="F10" s="155">
        <f t="shared" si="0"/>
        <v>4422.4439999999995</v>
      </c>
      <c r="G10" s="102"/>
    </row>
    <row r="11" spans="1:7" x14ac:dyDescent="0.2">
      <c r="A11" s="6" t="str">
        <f>'Исходные данные'!A12</f>
        <v>Идринский сельсовет</v>
      </c>
      <c r="B11" s="152">
        <v>6474.04</v>
      </c>
      <c r="C11" s="153">
        <v>1431.164</v>
      </c>
      <c r="D11" s="154">
        <v>1020.367</v>
      </c>
      <c r="E11" s="154">
        <f>843.666+3597.352</f>
        <v>4441.018</v>
      </c>
      <c r="F11" s="155">
        <f>SUM(B11:E11)</f>
        <v>13366.589</v>
      </c>
      <c r="G11" s="102"/>
    </row>
    <row r="12" spans="1:7" x14ac:dyDescent="0.2">
      <c r="A12" s="6" t="str">
        <f>'Исходные данные'!A13</f>
        <v>Курежский сельсовет</v>
      </c>
      <c r="B12" s="152">
        <v>1686.442</v>
      </c>
      <c r="C12" s="153">
        <v>123.17400000000001</v>
      </c>
      <c r="D12" s="154">
        <v>1271.2940000000001</v>
      </c>
      <c r="E12" s="154">
        <v>128.965</v>
      </c>
      <c r="F12" s="155">
        <f t="shared" si="0"/>
        <v>3209.875</v>
      </c>
      <c r="G12" s="102"/>
    </row>
    <row r="13" spans="1:7" x14ac:dyDescent="0.2">
      <c r="A13" s="6" t="str">
        <f>'Исходные данные'!A14</f>
        <v>Майский сельсовет</v>
      </c>
      <c r="B13" s="152">
        <v>1391.9349999999999</v>
      </c>
      <c r="C13" s="153">
        <v>57.552999999999997</v>
      </c>
      <c r="D13" s="154">
        <v>1883.4069999999999</v>
      </c>
      <c r="E13" s="154">
        <v>102.949</v>
      </c>
      <c r="F13" s="155">
        <f t="shared" si="0"/>
        <v>3435.8439999999996</v>
      </c>
      <c r="G13" s="102"/>
    </row>
    <row r="14" spans="1:7" x14ac:dyDescent="0.2">
      <c r="A14" s="6" t="str">
        <f>'Исходные данные'!A15</f>
        <v>Малохабыкский сельсовет</v>
      </c>
      <c r="B14" s="152">
        <v>1509.6579999999999</v>
      </c>
      <c r="C14" s="153">
        <v>144.26499999999999</v>
      </c>
      <c r="D14" s="154">
        <v>1877.11</v>
      </c>
      <c r="E14" s="154">
        <v>385.02600000000001</v>
      </c>
      <c r="F14" s="155">
        <f t="shared" si="0"/>
        <v>3916.0589999999993</v>
      </c>
      <c r="G14" s="102"/>
    </row>
    <row r="15" spans="1:7" x14ac:dyDescent="0.2">
      <c r="A15" s="6" t="str">
        <f>'Исходные данные'!A16</f>
        <v>Никольский сельсовет</v>
      </c>
      <c r="B15" s="152">
        <v>1664.4359999999999</v>
      </c>
      <c r="C15" s="153">
        <v>123.17400000000001</v>
      </c>
      <c r="D15" s="154">
        <v>3673.78</v>
      </c>
      <c r="E15" s="154">
        <v>779.476</v>
      </c>
      <c r="F15" s="155">
        <f t="shared" si="0"/>
        <v>6240.866</v>
      </c>
      <c r="G15" s="102"/>
    </row>
    <row r="16" spans="1:7" x14ac:dyDescent="0.2">
      <c r="A16" s="6" t="str">
        <f>'Исходные данные'!A17</f>
        <v>Новоберезовский сельсовет</v>
      </c>
      <c r="B16" s="152">
        <v>1557.1980000000001</v>
      </c>
      <c r="C16" s="153">
        <v>144.98599999999999</v>
      </c>
      <c r="D16" s="154">
        <v>1720.377</v>
      </c>
      <c r="E16" s="154">
        <v>147.98699999999999</v>
      </c>
      <c r="F16" s="155">
        <f t="shared" si="0"/>
        <v>3570.5480000000002</v>
      </c>
      <c r="G16" s="102"/>
    </row>
    <row r="17" spans="1:7" x14ac:dyDescent="0.2">
      <c r="A17" s="6" t="str">
        <f>'Исходные данные'!A18</f>
        <v>Новотроицкий сельсовет</v>
      </c>
      <c r="B17" s="152">
        <v>1702.499</v>
      </c>
      <c r="C17" s="153">
        <v>57.642000000000003</v>
      </c>
      <c r="D17" s="154">
        <v>1649.3440000000001</v>
      </c>
      <c r="E17" s="154">
        <v>649.01800000000003</v>
      </c>
      <c r="F17" s="155">
        <f t="shared" si="0"/>
        <v>4058.5030000000002</v>
      </c>
      <c r="G17" s="102"/>
    </row>
    <row r="18" spans="1:7" x14ac:dyDescent="0.2">
      <c r="A18" s="6" t="str">
        <f>'Исходные данные'!A19</f>
        <v>Отрокский сельсовет</v>
      </c>
      <c r="B18" s="152">
        <v>2609.9630000000002</v>
      </c>
      <c r="C18" s="153">
        <v>251.48</v>
      </c>
      <c r="D18" s="154">
        <v>2230.89</v>
      </c>
      <c r="E18" s="154">
        <v>395.41300000000001</v>
      </c>
      <c r="F18" s="155">
        <f t="shared" si="0"/>
        <v>5487.746000000001</v>
      </c>
      <c r="G18" s="102"/>
    </row>
    <row r="19" spans="1:7" x14ac:dyDescent="0.2">
      <c r="A19" s="6" t="str">
        <f>'Исходные данные'!A20</f>
        <v>Романовский сельсовет</v>
      </c>
      <c r="B19" s="152">
        <v>1827.7429999999999</v>
      </c>
      <c r="C19" s="153">
        <v>73.775999999999996</v>
      </c>
      <c r="D19" s="154">
        <v>1555.5840000000001</v>
      </c>
      <c r="E19" s="154">
        <v>617.25699999999995</v>
      </c>
      <c r="F19" s="155">
        <f t="shared" si="0"/>
        <v>4074.36</v>
      </c>
      <c r="G19" s="102"/>
    </row>
    <row r="20" spans="1:7" s="138" customFormat="1" x14ac:dyDescent="0.2">
      <c r="A20" s="137" t="str">
        <f>'Исходные данные'!A21</f>
        <v>Центральный сельсовет</v>
      </c>
      <c r="B20" s="156">
        <v>1761.442</v>
      </c>
      <c r="C20" s="157">
        <v>85.911000000000001</v>
      </c>
      <c r="D20" s="156">
        <v>1418.6479999999999</v>
      </c>
      <c r="E20" s="158">
        <v>124.819</v>
      </c>
      <c r="F20" s="159">
        <f t="shared" si="0"/>
        <v>3390.82</v>
      </c>
      <c r="G20" s="102"/>
    </row>
    <row r="21" spans="1:7" x14ac:dyDescent="0.2">
      <c r="A21" s="10" t="s">
        <v>31</v>
      </c>
      <c r="B21" s="116">
        <f>SUM(B5:B20)</f>
        <v>33617.508000000002</v>
      </c>
      <c r="C21" s="116">
        <f>SUM(C5:C20)</f>
        <v>3004.1799999999994</v>
      </c>
      <c r="D21" s="116">
        <f>SUM(D5:D20)</f>
        <v>30165.813999999998</v>
      </c>
      <c r="E21" s="116">
        <f>SUM(E5:E20)</f>
        <v>9900.9299999999985</v>
      </c>
      <c r="F21" s="116">
        <f>SUM(F5:F20)</f>
        <v>76688.432000000015</v>
      </c>
      <c r="G21" s="102"/>
    </row>
    <row r="22" spans="1:7" x14ac:dyDescent="0.2">
      <c r="F22" s="126"/>
    </row>
    <row r="23" spans="1:7" ht="42" customHeight="1" x14ac:dyDescent="0.2">
      <c r="A23" s="191" t="s">
        <v>68</v>
      </c>
      <c r="B23" s="191"/>
      <c r="C23" s="191"/>
      <c r="D23" s="58"/>
    </row>
    <row r="24" spans="1:7" ht="42" customHeight="1" x14ac:dyDescent="0.2">
      <c r="A24" s="19"/>
      <c r="B24" s="18" t="s">
        <v>29</v>
      </c>
      <c r="C24" s="19" t="s">
        <v>48</v>
      </c>
      <c r="D24" s="58"/>
    </row>
    <row r="25" spans="1:7" ht="15.75" x14ac:dyDescent="0.2">
      <c r="A25" s="31" t="s">
        <v>69</v>
      </c>
      <c r="B25" s="20" t="s">
        <v>7</v>
      </c>
      <c r="C25" s="27">
        <f>B21/F21</f>
        <v>0.43836478492610198</v>
      </c>
      <c r="D25" s="88"/>
    </row>
    <row r="26" spans="1:7" ht="15.75" x14ac:dyDescent="0.2">
      <c r="A26" s="31" t="s">
        <v>70</v>
      </c>
      <c r="B26" s="20" t="s">
        <v>8</v>
      </c>
      <c r="C26" s="27">
        <f>C21/F21</f>
        <v>3.9173835240235433E-2</v>
      </c>
      <c r="D26" s="88"/>
    </row>
    <row r="27" spans="1:7" ht="15.75" x14ac:dyDescent="0.2">
      <c r="A27" s="31" t="s">
        <v>118</v>
      </c>
      <c r="B27" s="20" t="s">
        <v>24</v>
      </c>
      <c r="C27" s="27">
        <f>D21/F21</f>
        <v>0.3933554672235311</v>
      </c>
      <c r="D27" s="88"/>
    </row>
    <row r="28" spans="1:7" ht="15.75" x14ac:dyDescent="0.2">
      <c r="A28" s="31" t="s">
        <v>72</v>
      </c>
      <c r="B28" s="20" t="s">
        <v>49</v>
      </c>
      <c r="C28" s="27">
        <f>E21/F21</f>
        <v>0.1291059126101313</v>
      </c>
      <c r="D28" s="88"/>
    </row>
    <row r="29" spans="1:7" ht="15.75" x14ac:dyDescent="0.2">
      <c r="A29" s="31" t="s">
        <v>71</v>
      </c>
      <c r="B29" s="20"/>
      <c r="C29" s="27">
        <f>SUM(C25:C28)</f>
        <v>0.99999999999999978</v>
      </c>
      <c r="D29" s="88"/>
    </row>
    <row r="30" spans="1:7" x14ac:dyDescent="0.2">
      <c r="D30" s="35"/>
    </row>
  </sheetData>
  <mergeCells count="2">
    <mergeCell ref="A23:C23"/>
    <mergeCell ref="A1:F1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view="pageBreakPreview" zoomScaleNormal="100" workbookViewId="0">
      <selection activeCell="G23" sqref="G23"/>
    </sheetView>
  </sheetViews>
  <sheetFormatPr defaultRowHeight="12.75" x14ac:dyDescent="0.2"/>
  <cols>
    <col min="1" max="1" width="31.42578125" style="1" customWidth="1"/>
    <col min="2" max="2" width="11.140625" style="1" customWidth="1"/>
    <col min="3" max="3" width="11.28515625" style="1" customWidth="1"/>
    <col min="4" max="4" width="10.85546875" style="1" customWidth="1"/>
    <col min="5" max="5" width="10.28515625" style="1" customWidth="1"/>
    <col min="6" max="6" width="10.85546875" style="1" customWidth="1"/>
    <col min="7" max="7" width="13.7109375" style="1" customWidth="1"/>
    <col min="8" max="13" width="10.28515625" style="1" customWidth="1"/>
    <col min="14" max="16384" width="9.140625" style="1"/>
  </cols>
  <sheetData>
    <row r="1" spans="1:13" ht="24.75" customHeight="1" x14ac:dyDescent="0.2">
      <c r="A1" s="190" t="s">
        <v>50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s="5" customFormat="1" ht="35.25" customHeight="1" x14ac:dyDescent="0.2">
      <c r="A2" s="197" t="s">
        <v>30</v>
      </c>
      <c r="B2" s="197" t="s">
        <v>36</v>
      </c>
      <c r="C2" s="197" t="s">
        <v>37</v>
      </c>
      <c r="D2" s="197" t="s">
        <v>38</v>
      </c>
      <c r="E2" s="197" t="s">
        <v>140</v>
      </c>
      <c r="F2" s="197" t="s">
        <v>40</v>
      </c>
      <c r="G2" s="195" t="s">
        <v>56</v>
      </c>
      <c r="H2" s="199" t="s">
        <v>67</v>
      </c>
      <c r="I2" s="200"/>
      <c r="J2" s="200"/>
      <c r="K2" s="195" t="s">
        <v>65</v>
      </c>
      <c r="L2" s="197" t="s">
        <v>64</v>
      </c>
      <c r="M2" s="194"/>
    </row>
    <row r="3" spans="1:13" s="5" customFormat="1" ht="51" customHeight="1" x14ac:dyDescent="0.2">
      <c r="A3" s="198"/>
      <c r="B3" s="198"/>
      <c r="C3" s="198"/>
      <c r="D3" s="198"/>
      <c r="E3" s="198"/>
      <c r="F3" s="198"/>
      <c r="G3" s="196"/>
      <c r="H3" s="2" t="s">
        <v>61</v>
      </c>
      <c r="I3" s="2" t="s">
        <v>62</v>
      </c>
      <c r="J3" s="2" t="s">
        <v>63</v>
      </c>
      <c r="K3" s="196"/>
      <c r="L3" s="198"/>
      <c r="M3" s="194"/>
    </row>
    <row r="4" spans="1:13" s="5" customFormat="1" ht="10.5" x14ac:dyDescent="0.2">
      <c r="A4" s="2" t="s">
        <v>27</v>
      </c>
      <c r="B4" s="16">
        <v>42005</v>
      </c>
      <c r="C4" s="2">
        <v>2015</v>
      </c>
      <c r="D4" s="2">
        <v>2015</v>
      </c>
      <c r="E4" s="16">
        <v>42005</v>
      </c>
      <c r="F4" s="2"/>
      <c r="G4" s="28">
        <v>2017</v>
      </c>
      <c r="H4" s="2">
        <v>2017</v>
      </c>
      <c r="I4" s="2">
        <v>2017</v>
      </c>
      <c r="J4" s="2">
        <v>2017</v>
      </c>
      <c r="K4" s="2">
        <v>2017</v>
      </c>
      <c r="L4" s="2">
        <v>2017</v>
      </c>
      <c r="M4" s="4"/>
    </row>
    <row r="5" spans="1:13" s="5" customFormat="1" ht="10.5" x14ac:dyDescent="0.2">
      <c r="A5" s="2" t="s">
        <v>28</v>
      </c>
      <c r="B5" s="2" t="s">
        <v>34</v>
      </c>
      <c r="C5" s="2" t="s">
        <v>39</v>
      </c>
      <c r="D5" s="2" t="s">
        <v>39</v>
      </c>
      <c r="E5" s="2" t="s">
        <v>39</v>
      </c>
      <c r="F5" s="2" t="s">
        <v>39</v>
      </c>
      <c r="G5" s="28" t="s">
        <v>39</v>
      </c>
      <c r="H5" s="2"/>
      <c r="I5" s="2"/>
      <c r="J5" s="2"/>
      <c r="K5" s="28"/>
      <c r="L5" s="2"/>
      <c r="M5" s="4"/>
    </row>
    <row r="6" spans="1:13" s="5" customFormat="1" ht="10.5" x14ac:dyDescent="0.2">
      <c r="A6" s="2" t="s">
        <v>29</v>
      </c>
      <c r="B6" s="2" t="s">
        <v>0</v>
      </c>
      <c r="C6" s="2" t="s">
        <v>51</v>
      </c>
      <c r="D6" s="2" t="s">
        <v>58</v>
      </c>
      <c r="E6" s="2" t="s">
        <v>53</v>
      </c>
      <c r="F6" s="2" t="s">
        <v>54</v>
      </c>
      <c r="G6" s="28"/>
      <c r="H6" s="2" t="s">
        <v>57</v>
      </c>
      <c r="I6" s="2" t="s">
        <v>59</v>
      </c>
      <c r="J6" s="2" t="s">
        <v>60</v>
      </c>
      <c r="K6" s="28" t="s">
        <v>55</v>
      </c>
      <c r="L6" s="2" t="s">
        <v>66</v>
      </c>
      <c r="M6" s="4"/>
    </row>
    <row r="7" spans="1:13" ht="15" customHeight="1" x14ac:dyDescent="0.2">
      <c r="A7" s="6" t="str">
        <f>'Исходные данные'!A6</f>
        <v>Большекнышинский сельсовет</v>
      </c>
      <c r="B7" s="8">
        <f>'Исходные данные'!B6</f>
        <v>446</v>
      </c>
      <c r="C7" s="7">
        <f>'Исходные данные'!D6</f>
        <v>129.19999999999999</v>
      </c>
      <c r="D7" s="7">
        <f>'Исходные данные'!E6</f>
        <v>1.8</v>
      </c>
      <c r="E7" s="7">
        <f>'Исходные данные'!F6</f>
        <v>14314</v>
      </c>
      <c r="F7" s="7">
        <f>'Исходные данные'!G6</f>
        <v>0</v>
      </c>
      <c r="G7" s="29">
        <f>'ИБР_общий, БО, дотации'!V7</f>
        <v>617.15455284272889</v>
      </c>
      <c r="H7" s="23">
        <f>(C7/B7)/($C$23/$B$23)</f>
        <v>0.42584009133099249</v>
      </c>
      <c r="I7" s="23">
        <f>(D7/B7)/($D$23/$B$23)</f>
        <v>7.5825519771708108E-2</v>
      </c>
      <c r="J7" s="23">
        <f>((E7+F7)/B7)/(($E$23+$F$23)/$B$23)</f>
        <v>0.33144627103863317</v>
      </c>
      <c r="K7" s="65">
        <f>(G7/G$23)/(B7/B$23)</f>
        <v>1.4060122640755159</v>
      </c>
      <c r="L7" s="24">
        <f>ИНП!H7*'прогноз доходов'!$C$25+ИНП!I7*'прогноз доходов'!$C$26+ИНП!J7*'прогноз доходов'!$C$27+K7*'прогноз доходов'!$C$28</f>
        <v>0.88452883304698038</v>
      </c>
      <c r="M7" s="9"/>
    </row>
    <row r="8" spans="1:13" ht="15" customHeight="1" x14ac:dyDescent="0.2">
      <c r="A8" s="6" t="str">
        <f>'Исходные данные'!A7</f>
        <v>Большесалбинский сельсовет</v>
      </c>
      <c r="B8" s="8">
        <f>'Исходные данные'!B7</f>
        <v>209</v>
      </c>
      <c r="C8" s="7">
        <f>'Исходные данные'!D7</f>
        <v>44.5</v>
      </c>
      <c r="D8" s="7">
        <f>'Исходные данные'!E7</f>
        <v>1.1000000000000001</v>
      </c>
      <c r="E8" s="7">
        <f>'Исходные данные'!F7</f>
        <v>12519</v>
      </c>
      <c r="F8" s="7">
        <f>'Исходные данные'!G7</f>
        <v>0</v>
      </c>
      <c r="G8" s="29">
        <f>'ИБР_общий, БО, дотации'!V8</f>
        <v>349.04994468301879</v>
      </c>
      <c r="H8" s="23">
        <f>(C8/B8)/($C$23/$B$23)</f>
        <v>0.31299155245553084</v>
      </c>
      <c r="I8" s="23">
        <f t="shared" ref="I8:I22" si="0">(D8/B8)/($D$23/$B$23)</f>
        <v>9.8883572567783101E-2</v>
      </c>
      <c r="J8" s="23">
        <f t="shared" ref="J8:J22" si="1">((E8+F8)/B8)/(($E$23+$F$23)/$B$23)</f>
        <v>0.61860059938680889</v>
      </c>
      <c r="K8" s="65">
        <f t="shared" ref="K8:K16" si="2">(G8/G$23)/(B8/B$23)</f>
        <v>1.6969588760682008</v>
      </c>
      <c r="L8" s="24">
        <f>ИНП!H8*'прогноз доходов'!$C$25+ИНП!I8*'прогноз доходов'!$C$26+ИНП!J8*'прогноз доходов'!$C$27+K8*'прогноз доходов'!$C$28</f>
        <v>1.0093913191048751</v>
      </c>
      <c r="M8" s="9"/>
    </row>
    <row r="9" spans="1:13" ht="17.25" customHeight="1" x14ac:dyDescent="0.2">
      <c r="A9" s="6" t="str">
        <f>'Исходные данные'!A8</f>
        <v>Большетелекский сельсовет</v>
      </c>
      <c r="B9" s="8">
        <f>'Исходные данные'!B8</f>
        <v>436</v>
      </c>
      <c r="C9" s="7">
        <f>'Исходные данные'!D8</f>
        <v>180.3</v>
      </c>
      <c r="D9" s="7">
        <f>'Исходные данные'!E8</f>
        <v>7</v>
      </c>
      <c r="E9" s="7">
        <f>'Исходные данные'!F8</f>
        <v>165768</v>
      </c>
      <c r="F9" s="7">
        <f>'Исходные данные'!G8</f>
        <v>0</v>
      </c>
      <c r="G9" s="29">
        <f>'ИБР_общий, БО, дотации'!V9</f>
        <v>329.78038060764078</v>
      </c>
      <c r="H9" s="23">
        <f t="shared" ref="H9:H22" si="3">(C9/B9)/($C$23/$B$23)</f>
        <v>0.60789438066776791</v>
      </c>
      <c r="I9" s="23">
        <f t="shared" si="0"/>
        <v>0.30164025576869613</v>
      </c>
      <c r="J9" s="23">
        <f t="shared" si="1"/>
        <v>3.9264601272603041</v>
      </c>
      <c r="K9" s="65">
        <f t="shared" si="2"/>
        <v>0.76854332688837768</v>
      </c>
      <c r="L9" s="24">
        <f>ИНП!H9*'прогноз доходов'!$C$25+ИНП!I9*'прогноз доходов'!$C$26+ИНП!J9*'прогноз доходов'!$C$27+K9*'прогноз доходов'!$C$28</f>
        <v>0.95447836902466121</v>
      </c>
      <c r="M9" s="9"/>
    </row>
    <row r="10" spans="1:13" ht="16.5" customHeight="1" x14ac:dyDescent="0.2">
      <c r="A10" s="6" t="str">
        <f>'Исходные данные'!A9</f>
        <v>Большехабыкский сельсовет</v>
      </c>
      <c r="B10" s="8">
        <f>'Исходные данные'!B9</f>
        <v>471</v>
      </c>
      <c r="C10" s="7">
        <f>'Исходные данные'!D9</f>
        <v>227.6</v>
      </c>
      <c r="D10" s="7">
        <f>'Исходные данные'!E9</f>
        <v>3.9</v>
      </c>
      <c r="E10" s="7">
        <f>'Исходные данные'!F9</f>
        <v>74005</v>
      </c>
      <c r="F10" s="7">
        <f>'Исходные данные'!G9</f>
        <v>0</v>
      </c>
      <c r="G10" s="29">
        <f>'ИБР_общий, БО, дотации'!V10</f>
        <v>514.29196585312729</v>
      </c>
      <c r="H10" s="23">
        <f t="shared" si="3"/>
        <v>0.71034649508937109</v>
      </c>
      <c r="I10" s="23">
        <f t="shared" si="0"/>
        <v>0.15556842308434662</v>
      </c>
      <c r="J10" s="23">
        <f t="shared" si="1"/>
        <v>1.6226585369843349</v>
      </c>
      <c r="K10" s="65">
        <f t="shared" si="2"/>
        <v>1.1094784297615379</v>
      </c>
      <c r="L10" s="24">
        <f>ИНП!H10*'прогноз доходов'!$C$25+ИНП!I10*'прогноз доходов'!$C$26+ИНП!J10*'прогноз доходов'!$C$27+K10*'прогноз доходов'!$C$28</f>
        <v>0.96031966315963257</v>
      </c>
      <c r="M10" s="9"/>
    </row>
    <row r="11" spans="1:13" ht="16.5" customHeight="1" x14ac:dyDescent="0.2">
      <c r="A11" s="6" t="str">
        <f>'Исходные данные'!A10</f>
        <v>Добромысловский сельсовет</v>
      </c>
      <c r="B11" s="8">
        <f>'Исходные данные'!B10</f>
        <v>642</v>
      </c>
      <c r="C11" s="7">
        <f>'Исходные данные'!D10</f>
        <v>201.8</v>
      </c>
      <c r="D11" s="7">
        <f>'Исходные данные'!E10</f>
        <v>17.899999999999999</v>
      </c>
      <c r="E11" s="7">
        <f>'Исходные данные'!F10</f>
        <v>130662</v>
      </c>
      <c r="F11" s="7">
        <f>'Исходные данные'!G10</f>
        <v>0</v>
      </c>
      <c r="G11" s="29">
        <f>'ИБР_общий, БО, дотации'!V11</f>
        <v>822.9100790322783</v>
      </c>
      <c r="H11" s="23">
        <f t="shared" si="3"/>
        <v>0.46206707671514441</v>
      </c>
      <c r="I11" s="23">
        <f t="shared" si="0"/>
        <v>0.52383649579911251</v>
      </c>
      <c r="J11" s="23">
        <f t="shared" si="1"/>
        <v>2.1018477617534814</v>
      </c>
      <c r="K11" s="65">
        <f t="shared" si="2"/>
        <v>1.302408985860795</v>
      </c>
      <c r="L11" s="24">
        <f>ИНП!H11*'прогноз доходов'!$C$25+ИНП!I11*'прогноз доходов'!$C$26+ИНП!J11*'прогноз доходов'!$C$27+K11*'прогноз доходов'!$C$28</f>
        <v>1.0157980929929593</v>
      </c>
      <c r="M11" s="9"/>
    </row>
    <row r="12" spans="1:13" ht="16.5" customHeight="1" x14ac:dyDescent="0.2">
      <c r="A12" s="6" t="str">
        <f>'Исходные данные'!A11</f>
        <v>Екатерининский сельсовет</v>
      </c>
      <c r="B12" s="8">
        <f>'Исходные данные'!B11</f>
        <v>521</v>
      </c>
      <c r="C12" s="7">
        <f>'Исходные данные'!D11</f>
        <v>196.7</v>
      </c>
      <c r="D12" s="7">
        <f>'Исходные данные'!E11</f>
        <v>9.5</v>
      </c>
      <c r="E12" s="7">
        <f>'Исходные данные'!F11</f>
        <v>72984</v>
      </c>
      <c r="F12" s="7">
        <f>'Исходные данные'!G11</f>
        <v>0</v>
      </c>
      <c r="G12" s="29">
        <f>'ИБР_общий, БО, дотации'!V12</f>
        <v>708.67455212564948</v>
      </c>
      <c r="H12" s="23">
        <f t="shared" si="3"/>
        <v>0.5549904728983851</v>
      </c>
      <c r="I12" s="23">
        <f t="shared" si="0"/>
        <v>0.34258128308032337</v>
      </c>
      <c r="J12" s="23">
        <f t="shared" si="1"/>
        <v>1.4466948042338708</v>
      </c>
      <c r="K12" s="65">
        <f t="shared" si="2"/>
        <v>1.3820989753664303</v>
      </c>
      <c r="L12" s="24">
        <f>ИНП!H12*'прогноз доходов'!$C$25+ИНП!I12*'прогноз доходов'!$C$26+ИНП!J12*'прогноз доходов'!$C$27+K12*'прогноз доходов'!$C$28</f>
        <v>1.0275929944313253</v>
      </c>
      <c r="M12" s="9"/>
    </row>
    <row r="13" spans="1:13" ht="15" customHeight="1" x14ac:dyDescent="0.2">
      <c r="A13" s="6" t="str">
        <f>'Исходные данные'!A12</f>
        <v>Идринский сельсовет</v>
      </c>
      <c r="B13" s="8">
        <f>'Исходные данные'!B12</f>
        <v>5352</v>
      </c>
      <c r="C13" s="7">
        <f>'Исходные данные'!D12</f>
        <v>5496.1</v>
      </c>
      <c r="D13" s="7">
        <f>'Исходные данные'!E12</f>
        <v>515.70000000000005</v>
      </c>
      <c r="E13" s="7">
        <f>'Исходные данные'!F12</f>
        <v>315370</v>
      </c>
      <c r="F13" s="7">
        <f>'Исходные данные'!G12</f>
        <v>0</v>
      </c>
      <c r="G13" s="29">
        <f>'ИБР_общий, БО, дотации'!V13</f>
        <v>3603.7650898285392</v>
      </c>
      <c r="H13" s="23">
        <f t="shared" si="3"/>
        <v>1.5095844465713801</v>
      </c>
      <c r="I13" s="23">
        <f t="shared" si="0"/>
        <v>1.8103342845495312</v>
      </c>
      <c r="J13" s="23">
        <f t="shared" si="1"/>
        <v>0.60854297946913138</v>
      </c>
      <c r="K13" s="65">
        <f t="shared" si="2"/>
        <v>0.68418003910134417</v>
      </c>
      <c r="L13" s="24">
        <f>ИНП!H13*'прогноз доходов'!$C$25+ИНП!I13*'прогноз доходов'!$C$26+ИНП!J13*'прогноз доходов'!$C$27+K13*'прогноз доходов'!$C$28</f>
        <v>1.0407059614367888</v>
      </c>
      <c r="M13" s="9"/>
    </row>
    <row r="14" spans="1:13" ht="14.25" customHeight="1" x14ac:dyDescent="0.2">
      <c r="A14" s="6" t="str">
        <f>'Исходные данные'!A13</f>
        <v>Курежский сельсовет</v>
      </c>
      <c r="B14" s="8">
        <f>'Исходные данные'!B13</f>
        <v>341</v>
      </c>
      <c r="C14" s="7">
        <f>'Исходные данные'!D13</f>
        <v>115.3</v>
      </c>
      <c r="D14" s="7">
        <f>'Исходные данные'!E13</f>
        <v>9.4</v>
      </c>
      <c r="E14" s="7">
        <f>'Исходные данные'!F13</f>
        <v>111035</v>
      </c>
      <c r="F14" s="7">
        <f>'Исходные данные'!G13</f>
        <v>0</v>
      </c>
      <c r="G14" s="29">
        <f>'ИБР_общий, БО, дотации'!V14</f>
        <v>383.64583624284984</v>
      </c>
      <c r="H14" s="23">
        <f t="shared" si="3"/>
        <v>0.4970428372340206</v>
      </c>
      <c r="I14" s="23">
        <f t="shared" si="0"/>
        <v>0.51790633608815428</v>
      </c>
      <c r="J14" s="23">
        <f t="shared" si="1"/>
        <v>3.3627338922395951</v>
      </c>
      <c r="K14" s="65">
        <f t="shared" si="2"/>
        <v>1.143157685590503</v>
      </c>
      <c r="L14" s="24">
        <f>ИНП!H14*'прогноз доходов'!$C$25+ИНП!I14*'прогноз доходов'!$C$26+ИНП!J14*'прогноз доходов'!$C$27+K14*'прогноз доходов'!$C$28</f>
        <v>1.0573154591790845</v>
      </c>
      <c r="M14" s="9"/>
    </row>
    <row r="15" spans="1:13" ht="15" customHeight="1" x14ac:dyDescent="0.2">
      <c r="A15" s="6" t="str">
        <f>'Исходные данные'!A14</f>
        <v>Майский сельсовет</v>
      </c>
      <c r="B15" s="8">
        <f>'Исходные данные'!B14</f>
        <v>350</v>
      </c>
      <c r="C15" s="7">
        <f>'Исходные данные'!D14</f>
        <v>239.2</v>
      </c>
      <c r="D15" s="7">
        <f>'Исходные данные'!E14</f>
        <v>27.6</v>
      </c>
      <c r="E15" s="7">
        <f>'Исходные данные'!F14</f>
        <v>33671</v>
      </c>
      <c r="F15" s="7">
        <f>'Исходные данные'!G14</f>
        <v>0</v>
      </c>
      <c r="G15" s="29">
        <f>'ИБР_общий, БО, дотации'!V15</f>
        <v>355.11604569499934</v>
      </c>
      <c r="H15" s="23">
        <f t="shared" si="3"/>
        <v>1.004643600873121</v>
      </c>
      <c r="I15" s="23">
        <f t="shared" si="0"/>
        <v>1.4815584415584415</v>
      </c>
      <c r="J15" s="23">
        <f t="shared" si="1"/>
        <v>0.99351620130047535</v>
      </c>
      <c r="K15" s="65">
        <f t="shared" si="2"/>
        <v>1.0309373691626773</v>
      </c>
      <c r="L15" s="24">
        <f>ИНП!H15*'прогноз доходов'!$C$25+ИНП!I15*'прогноз доходов'!$C$26+ИНП!J15*'прогноз доходов'!$C$27+K15*'прогноз доходов'!$C$28</f>
        <v>1.0364603657473204</v>
      </c>
      <c r="M15" s="9"/>
    </row>
    <row r="16" spans="1:13" ht="15" customHeight="1" x14ac:dyDescent="0.2">
      <c r="A16" s="6" t="str">
        <f>'Исходные данные'!A15</f>
        <v>Малохабыкский сельсовет</v>
      </c>
      <c r="B16" s="8">
        <f>'Исходные данные'!B15</f>
        <v>298</v>
      </c>
      <c r="C16" s="7">
        <f>'Исходные данные'!D15</f>
        <v>142.6</v>
      </c>
      <c r="D16" s="7">
        <f>'Исходные данные'!E15</f>
        <v>5.6</v>
      </c>
      <c r="E16" s="7">
        <f>'Исходные данные'!F15</f>
        <v>61627</v>
      </c>
      <c r="F16" s="7">
        <f>'Исходные данные'!G15</f>
        <v>0</v>
      </c>
      <c r="G16" s="29">
        <f>'ИБР_общий, БО, дотации'!V16</f>
        <v>229.55490409812847</v>
      </c>
      <c r="H16" s="23">
        <f t="shared" si="3"/>
        <v>0.70343205146317533</v>
      </c>
      <c r="I16" s="23">
        <f t="shared" si="0"/>
        <v>0.3530608094366483</v>
      </c>
      <c r="J16" s="23">
        <f t="shared" si="1"/>
        <v>2.1357073677347</v>
      </c>
      <c r="K16" s="65">
        <f t="shared" si="2"/>
        <v>0.78270902518615149</v>
      </c>
      <c r="L16" s="24">
        <f>ИНП!H16*'прогноз доходов'!$C$25+ИНП!I16*'прогноз доходов'!$C$26+ИНП!J16*'прогноз доходов'!$C$27+K16*'прогноз доходов'!$C$28</f>
        <v>0.84881636380984282</v>
      </c>
      <c r="M16" s="9"/>
    </row>
    <row r="17" spans="1:13" ht="15" customHeight="1" x14ac:dyDescent="0.2">
      <c r="A17" s="6" t="str">
        <f>'Исходные данные'!A16</f>
        <v>Никольский сельсовет</v>
      </c>
      <c r="B17" s="8">
        <f>'Исходные данные'!B16</f>
        <v>573</v>
      </c>
      <c r="C17" s="7">
        <f>'Исходные данные'!D16</f>
        <v>198.5</v>
      </c>
      <c r="D17" s="7">
        <f>'Исходные данные'!E16</f>
        <v>6.4</v>
      </c>
      <c r="E17" s="7">
        <f>'Исходные данные'!F16</f>
        <v>24729</v>
      </c>
      <c r="F17" s="7">
        <f>'Исходные данные'!G16</f>
        <v>0</v>
      </c>
      <c r="G17" s="29">
        <f>'ИБР_общий, БО, дотации'!V17</f>
        <v>780.88970536756119</v>
      </c>
      <c r="H17" s="23">
        <f t="shared" si="3"/>
        <v>0.50924266293885445</v>
      </c>
      <c r="I17" s="23">
        <f t="shared" si="0"/>
        <v>0.20984716272674386</v>
      </c>
      <c r="J17" s="23">
        <f t="shared" si="1"/>
        <v>0.4456961840267934</v>
      </c>
      <c r="K17" s="65">
        <f t="shared" ref="K17:K23" si="4">(G17/G$23)/(B17/B$23)</f>
        <v>1.3847300148411414</v>
      </c>
      <c r="L17" s="24">
        <f>ИНП!H17*'прогноз доходов'!$C$25+ИНП!I17*'прогноз доходов'!$C$26+ИНП!J17*'прогноз доходов'!$C$27+K17*'прогноз доходов'!$C$28</f>
        <v>0.92124812483680796</v>
      </c>
      <c r="M17" s="9"/>
    </row>
    <row r="18" spans="1:13" ht="15" customHeight="1" x14ac:dyDescent="0.2">
      <c r="A18" s="6" t="str">
        <f>'Исходные данные'!A17</f>
        <v>Новоберезовский сельсовет</v>
      </c>
      <c r="B18" s="8">
        <f>'Исходные данные'!B17</f>
        <v>459</v>
      </c>
      <c r="C18" s="7">
        <f>'Исходные данные'!D17</f>
        <v>130.6</v>
      </c>
      <c r="D18" s="7">
        <f>'Исходные данные'!E17</f>
        <v>7.4</v>
      </c>
      <c r="E18" s="7">
        <f>'Исходные данные'!F17</f>
        <v>58556</v>
      </c>
      <c r="F18" s="7">
        <f>'Исходные данные'!G17</f>
        <v>0</v>
      </c>
      <c r="G18" s="29">
        <f>'ИБР_общий, БО, дотации'!V18</f>
        <v>708.92762892670282</v>
      </c>
      <c r="H18" s="23">
        <f t="shared" si="3"/>
        <v>0.41826293705880863</v>
      </c>
      <c r="I18" s="23">
        <f t="shared" si="0"/>
        <v>0.30289826368257738</v>
      </c>
      <c r="J18" s="23">
        <f t="shared" si="1"/>
        <v>1.3174850618898999</v>
      </c>
      <c r="K18" s="65">
        <f t="shared" si="4"/>
        <v>1.5693479601340918</v>
      </c>
      <c r="L18" s="24">
        <f>ИНП!H18*'прогноз доходов'!$C$25+ИНП!I18*'прогноз доходов'!$C$26+ИНП!J18*'прогноз доходов'!$C$27+K18*'прогноз доходов'!$C$28</f>
        <v>1.0546014267588977</v>
      </c>
      <c r="M18" s="9"/>
    </row>
    <row r="19" spans="1:13" ht="15" customHeight="1" x14ac:dyDescent="0.2">
      <c r="A19" s="6" t="str">
        <f>'Исходные данные'!A18</f>
        <v>Новотроицкий сельсовет</v>
      </c>
      <c r="B19" s="8">
        <f>'Исходные данные'!B18</f>
        <v>231</v>
      </c>
      <c r="C19" s="7">
        <f>'Исходные данные'!D18</f>
        <v>98.8</v>
      </c>
      <c r="D19" s="7">
        <f>'Исходные данные'!E18</f>
        <v>-12.5</v>
      </c>
      <c r="E19" s="7">
        <f>'Исходные данные'!F18</f>
        <v>12060</v>
      </c>
      <c r="F19" s="7">
        <f>'Исходные данные'!G18</f>
        <v>0</v>
      </c>
      <c r="G19" s="29">
        <f>'ИБР_общий, БО, дотации'!V19</f>
        <v>372.48221681933302</v>
      </c>
      <c r="H19" s="23">
        <f t="shared" si="3"/>
        <v>0.62872952623811929</v>
      </c>
      <c r="I19" s="23">
        <f t="shared" si="0"/>
        <v>-1.0166601075691983</v>
      </c>
      <c r="J19" s="23">
        <f t="shared" si="1"/>
        <v>0.53916576838821528</v>
      </c>
      <c r="K19" s="65">
        <f t="shared" si="4"/>
        <v>1.6384137870065847</v>
      </c>
      <c r="L19" s="24">
        <f>ИНП!H19*'прогноз доходов'!$C$25+ИНП!I19*'прогноз доходов'!$C$26+ИНП!J19*'прогноз доходов'!$C$27+K19*'прогноз доходов'!$C$28</f>
        <v>1.0484062986380061</v>
      </c>
      <c r="M19" s="9"/>
    </row>
    <row r="20" spans="1:13" ht="15" customHeight="1" x14ac:dyDescent="0.2">
      <c r="A20" s="6" t="str">
        <f>'Исходные данные'!A19</f>
        <v>Отрокский сельсовет</v>
      </c>
      <c r="B20" s="8">
        <f>'Исходные данные'!B19</f>
        <v>623</v>
      </c>
      <c r="C20" s="7">
        <f>'Исходные данные'!D19</f>
        <v>242.2</v>
      </c>
      <c r="D20" s="7">
        <f>'Исходные данные'!E19</f>
        <v>17.5</v>
      </c>
      <c r="E20" s="7">
        <f>'Исходные данные'!F19</f>
        <v>22375</v>
      </c>
      <c r="F20" s="7">
        <f>'Исходные данные'!G19</f>
        <v>0</v>
      </c>
      <c r="G20" s="29">
        <f>'ИБР_общий, БО, дотации'!V20</f>
        <v>854.7488310871521</v>
      </c>
      <c r="H20" s="23">
        <f t="shared" si="3"/>
        <v>0.57148519440144574</v>
      </c>
      <c r="I20" s="23">
        <f t="shared" si="0"/>
        <v>0.52774940415389848</v>
      </c>
      <c r="J20" s="23">
        <f t="shared" si="1"/>
        <v>0.37090439584255541</v>
      </c>
      <c r="K20" s="65">
        <f t="shared" si="4"/>
        <v>1.3940568965964701</v>
      </c>
      <c r="L20" s="24">
        <f>ИНП!H20*'прогноз доходов'!$C$25+ИНП!I20*'прогноз доходов'!$C$26+ИНП!J20*'прогноз доходов'!$C$27+K20*'прогноз доходов'!$C$28</f>
        <v>0.95656965298808216</v>
      </c>
      <c r="M20" s="9"/>
    </row>
    <row r="21" spans="1:13" ht="15" customHeight="1" x14ac:dyDescent="0.2">
      <c r="A21" s="6" t="str">
        <f>'Исходные данные'!A20</f>
        <v>Романовский сельсовет</v>
      </c>
      <c r="B21" s="8">
        <f>'Исходные данные'!B20</f>
        <v>407</v>
      </c>
      <c r="C21" s="7">
        <f>'Исходные данные'!D20</f>
        <v>167.4</v>
      </c>
      <c r="D21" s="7">
        <f>'Исходные данные'!E20</f>
        <v>2.9</v>
      </c>
      <c r="E21" s="7">
        <f>'Исходные данные'!F20</f>
        <v>10446</v>
      </c>
      <c r="F21" s="7">
        <f>'Исходные данные'!G20</f>
        <v>0</v>
      </c>
      <c r="G21" s="29">
        <f>'ИБР_общий, БО, дотации'!V21</f>
        <v>415.95739348074505</v>
      </c>
      <c r="H21" s="23">
        <f t="shared" si="3"/>
        <v>0.60461641769818497</v>
      </c>
      <c r="I21" s="23">
        <f t="shared" si="0"/>
        <v>0.13386940659667931</v>
      </c>
      <c r="J21" s="23">
        <f t="shared" si="1"/>
        <v>0.26505902458036218</v>
      </c>
      <c r="K21" s="65">
        <f t="shared" si="4"/>
        <v>1.03844731864118</v>
      </c>
      <c r="L21" s="24">
        <f>ИНП!H21*'прогноз доходов'!$C$25+ИНП!I21*'прогноз доходов'!$C$26+ИНП!J21*'прогноз доходов'!$C$27+K21*'прогноз доходов'!$C$28</f>
        <v>0.76932578536462159</v>
      </c>
      <c r="M21" s="9"/>
    </row>
    <row r="22" spans="1:13" ht="15.75" customHeight="1" x14ac:dyDescent="0.2">
      <c r="A22" s="6" t="str">
        <f>'Исходные данные'!A21</f>
        <v>Центральный сельсовет</v>
      </c>
      <c r="B22" s="8">
        <f>'Исходные данные'!B21</f>
        <v>359</v>
      </c>
      <c r="C22" s="7">
        <f>'Исходные данные'!D21</f>
        <v>160.6</v>
      </c>
      <c r="D22" s="7">
        <f>'Исходные данные'!E21</f>
        <v>2.5</v>
      </c>
      <c r="E22" s="7">
        <f>'Исходные данные'!F21</f>
        <v>14541</v>
      </c>
      <c r="F22" s="7">
        <f>'Исходные данные'!G21</f>
        <v>0</v>
      </c>
      <c r="G22" s="29">
        <f>'ИБР_общий, БО, дотации'!V22</f>
        <v>485.55087330954552</v>
      </c>
      <c r="H22" s="23">
        <f t="shared" si="3"/>
        <v>0.65761238488879059</v>
      </c>
      <c r="I22" s="23">
        <f t="shared" si="0"/>
        <v>0.13083481050054865</v>
      </c>
      <c r="J22" s="23">
        <f t="shared" si="1"/>
        <v>0.41829898331202203</v>
      </c>
      <c r="K22" s="65">
        <f t="shared" si="4"/>
        <v>1.3742644792611054</v>
      </c>
      <c r="L22" s="24">
        <f>ИНП!H22*'прогноз доходов'!$C$25+ИНП!I22*'прогноз доходов'!$C$26+ИНП!J22*'прогноз доходов'!$C$27+K22*'прогноз доходов'!$C$28</f>
        <v>0.96731766923160456</v>
      </c>
      <c r="M22" s="9"/>
    </row>
    <row r="23" spans="1:13" s="14" customFormat="1" x14ac:dyDescent="0.2">
      <c r="A23" s="10" t="s">
        <v>31</v>
      </c>
      <c r="B23" s="11">
        <f t="shared" ref="B23:G23" si="5">SUM(B7:B22)</f>
        <v>11718</v>
      </c>
      <c r="C23" s="11">
        <f t="shared" si="5"/>
        <v>7971.4000000000015</v>
      </c>
      <c r="D23" s="11">
        <f t="shared" si="5"/>
        <v>623.70000000000005</v>
      </c>
      <c r="E23" s="11">
        <f t="shared" si="5"/>
        <v>1134662</v>
      </c>
      <c r="F23" s="11">
        <f t="shared" si="5"/>
        <v>0</v>
      </c>
      <c r="G23" s="30">
        <f t="shared" si="5"/>
        <v>11532.500000000002</v>
      </c>
      <c r="H23" s="25">
        <f>(C23/B23)/($C$23/$B$23)</f>
        <v>1</v>
      </c>
      <c r="I23" s="25">
        <f>(D23/B23)/($D$23/$B$23)</f>
        <v>1</v>
      </c>
      <c r="J23" s="25">
        <f>((E23+F23)/B23)/(($E$23+$F$23)/$B$23)</f>
        <v>1</v>
      </c>
      <c r="K23" s="70">
        <f t="shared" si="4"/>
        <v>1</v>
      </c>
      <c r="L23" s="26">
        <f>ИНП!H23*'прогноз доходов'!$C$25+ИНП!I23*'прогноз доходов'!$C$26+ИНП!J23*'прогноз доходов'!$C$27+K23*'прогноз доходов'!$C$28</f>
        <v>0.99999999999999978</v>
      </c>
      <c r="M23" s="13"/>
    </row>
    <row r="26" spans="1:13" x14ac:dyDescent="0.2">
      <c r="G26" s="86"/>
    </row>
  </sheetData>
  <mergeCells count="12">
    <mergeCell ref="G2:G3"/>
    <mergeCell ref="H2:J2"/>
    <mergeCell ref="M2:M3"/>
    <mergeCell ref="K2:K3"/>
    <mergeCell ref="L2:L3"/>
    <mergeCell ref="A1:L1"/>
    <mergeCell ref="A2:A3"/>
    <mergeCell ref="B2:B3"/>
    <mergeCell ref="C2:C3"/>
    <mergeCell ref="D2:D3"/>
    <mergeCell ref="E2:E3"/>
    <mergeCell ref="F2:F3"/>
  </mergeCells>
  <phoneticPr fontId="3" type="noConversion"/>
  <pageMargins left="1.24" right="0.28000000000000003" top="1" bottom="1" header="0.5" footer="0.5"/>
  <pageSetup paperSize="9" scale="8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view="pageBreakPreview" topLeftCell="A7" zoomScaleNormal="100" workbookViewId="0">
      <pane xSplit="1" topLeftCell="J1" activePane="topRight" state="frozen"/>
      <selection pane="topRight" activeCell="S14" sqref="S14"/>
    </sheetView>
  </sheetViews>
  <sheetFormatPr defaultRowHeight="12.75" outlineLevelCol="1" x14ac:dyDescent="0.2"/>
  <cols>
    <col min="1" max="1" width="21.140625" style="1" customWidth="1"/>
    <col min="2" max="2" width="11.42578125" style="1" customWidth="1"/>
    <col min="3" max="3" width="9.7109375" style="1" customWidth="1"/>
    <col min="4" max="4" width="12.28515625" style="1" customWidth="1" outlineLevel="1"/>
    <col min="5" max="5" width="11.5703125" style="1" customWidth="1" outlineLevel="1"/>
    <col min="6" max="6" width="12" style="1" customWidth="1" outlineLevel="1"/>
    <col min="7" max="7" width="10.28515625" style="1" customWidth="1" outlineLevel="1"/>
    <col min="8" max="8" width="11.42578125" style="1" customWidth="1" outlineLevel="1"/>
    <col min="9" max="9" width="14.85546875" style="1" customWidth="1" outlineLevel="1"/>
    <col min="10" max="10" width="10.28515625" style="1" customWidth="1" outlineLevel="1"/>
    <col min="11" max="11" width="10.42578125" style="1" customWidth="1" outlineLevel="1"/>
    <col min="12" max="12" width="13.7109375" style="35" customWidth="1" outlineLevel="1"/>
    <col min="13" max="15" width="10.28515625" style="35" customWidth="1" outlineLevel="1"/>
    <col min="16" max="16" width="17.85546875" style="35" customWidth="1" outlineLevel="1"/>
    <col min="17" max="17" width="15.28515625" style="35" customWidth="1" outlineLevel="1"/>
    <col min="18" max="21" width="15.28515625" style="35" customWidth="1"/>
    <col min="22" max="22" width="15.140625" style="1" customWidth="1"/>
    <col min="23" max="23" width="9.140625" style="1"/>
    <col min="24" max="24" width="11.28515625" style="1" customWidth="1"/>
    <col min="25" max="16384" width="9.140625" style="1"/>
  </cols>
  <sheetData>
    <row r="1" spans="1:24" ht="24.75" customHeight="1" x14ac:dyDescent="0.2">
      <c r="A1" s="190" t="s">
        <v>94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202"/>
    </row>
    <row r="2" spans="1:24" s="5" customFormat="1" ht="51" customHeight="1" x14ac:dyDescent="0.2">
      <c r="A2" s="197" t="s">
        <v>30</v>
      </c>
      <c r="B2" s="197" t="s">
        <v>36</v>
      </c>
      <c r="C2" s="199" t="s">
        <v>82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1" t="s">
        <v>92</v>
      </c>
      <c r="O2" s="201"/>
      <c r="P2" s="201"/>
      <c r="Q2" s="201"/>
      <c r="R2" s="203" t="s">
        <v>136</v>
      </c>
      <c r="S2" s="205" t="s">
        <v>130</v>
      </c>
      <c r="T2" s="206"/>
      <c r="U2" s="207"/>
      <c r="V2" s="201" t="s">
        <v>3</v>
      </c>
      <c r="W2" s="201" t="s">
        <v>135</v>
      </c>
      <c r="X2" s="201" t="s">
        <v>137</v>
      </c>
    </row>
    <row r="3" spans="1:24" s="5" customFormat="1" ht="83.25" customHeight="1" x14ac:dyDescent="0.2">
      <c r="A3" s="198"/>
      <c r="B3" s="198"/>
      <c r="C3" s="2" t="s">
        <v>79</v>
      </c>
      <c r="D3" s="2" t="s">
        <v>86</v>
      </c>
      <c r="E3" s="21" t="s">
        <v>78</v>
      </c>
      <c r="F3" s="2" t="s">
        <v>87</v>
      </c>
      <c r="G3" s="2" t="s">
        <v>81</v>
      </c>
      <c r="H3" s="2" t="s">
        <v>18</v>
      </c>
      <c r="I3" s="2" t="s">
        <v>77</v>
      </c>
      <c r="J3" s="2" t="s">
        <v>85</v>
      </c>
      <c r="K3" s="2" t="s">
        <v>88</v>
      </c>
      <c r="L3" s="32" t="s">
        <v>83</v>
      </c>
      <c r="M3" s="36" t="s">
        <v>16</v>
      </c>
      <c r="N3" s="2" t="s">
        <v>75</v>
      </c>
      <c r="O3" s="2" t="s">
        <v>91</v>
      </c>
      <c r="P3" s="32" t="s">
        <v>93</v>
      </c>
      <c r="Q3" s="2" t="s">
        <v>89</v>
      </c>
      <c r="R3" s="204"/>
      <c r="S3" s="2" t="s">
        <v>119</v>
      </c>
      <c r="T3" s="32" t="s">
        <v>120</v>
      </c>
      <c r="U3" s="32" t="s">
        <v>125</v>
      </c>
      <c r="V3" s="201"/>
      <c r="W3" s="201"/>
      <c r="X3" s="201"/>
    </row>
    <row r="4" spans="1:24" s="5" customFormat="1" ht="10.5" x14ac:dyDescent="0.2">
      <c r="A4" s="2" t="s">
        <v>27</v>
      </c>
      <c r="B4" s="16">
        <v>42005</v>
      </c>
      <c r="C4" s="16">
        <v>42370</v>
      </c>
      <c r="D4" s="2"/>
      <c r="E4" s="16"/>
      <c r="F4" s="2"/>
      <c r="G4" s="2"/>
      <c r="H4" s="2"/>
      <c r="I4" s="16"/>
      <c r="J4" s="2"/>
      <c r="K4" s="2"/>
      <c r="L4" s="32"/>
      <c r="M4" s="32"/>
      <c r="N4" s="16">
        <v>42005</v>
      </c>
      <c r="O4" s="16">
        <v>42005</v>
      </c>
      <c r="P4" s="32"/>
      <c r="Q4" s="32"/>
      <c r="R4" s="59"/>
      <c r="S4" s="61"/>
      <c r="T4" s="62"/>
      <c r="U4" s="62"/>
      <c r="V4" s="32">
        <v>2017</v>
      </c>
      <c r="W4" s="100"/>
      <c r="X4" s="100"/>
    </row>
    <row r="5" spans="1:24" s="5" customFormat="1" ht="10.5" x14ac:dyDescent="0.2">
      <c r="A5" s="2" t="s">
        <v>28</v>
      </c>
      <c r="B5" s="2" t="s">
        <v>34</v>
      </c>
      <c r="C5" s="2"/>
      <c r="D5" s="2"/>
      <c r="E5" s="2" t="s">
        <v>33</v>
      </c>
      <c r="F5" s="2"/>
      <c r="G5" s="2" t="s">
        <v>32</v>
      </c>
      <c r="H5" s="2"/>
      <c r="I5" s="2"/>
      <c r="J5" s="2"/>
      <c r="K5" s="2"/>
      <c r="L5" s="32"/>
      <c r="M5" s="32"/>
      <c r="N5" s="2" t="s">
        <v>34</v>
      </c>
      <c r="O5" s="2"/>
      <c r="P5" s="32"/>
      <c r="Q5" s="32"/>
      <c r="R5" s="59"/>
      <c r="S5" s="2" t="s">
        <v>134</v>
      </c>
      <c r="T5" s="2" t="s">
        <v>134</v>
      </c>
      <c r="U5" s="32"/>
      <c r="V5" s="32"/>
      <c r="W5" s="100"/>
      <c r="X5" s="100"/>
    </row>
    <row r="6" spans="1:24" s="5" customFormat="1" ht="10.5" x14ac:dyDescent="0.2">
      <c r="A6" s="2" t="s">
        <v>29</v>
      </c>
      <c r="B6" s="2" t="s">
        <v>0</v>
      </c>
      <c r="C6" s="2"/>
      <c r="D6" s="2" t="s">
        <v>7</v>
      </c>
      <c r="E6" s="2"/>
      <c r="F6" s="2" t="s">
        <v>8</v>
      </c>
      <c r="G6" s="2" t="s">
        <v>20</v>
      </c>
      <c r="H6" s="2" t="s">
        <v>19</v>
      </c>
      <c r="I6" s="2" t="s">
        <v>15</v>
      </c>
      <c r="J6" s="2" t="s">
        <v>84</v>
      </c>
      <c r="K6" s="2" t="s">
        <v>24</v>
      </c>
      <c r="L6" s="32" t="s">
        <v>17</v>
      </c>
      <c r="M6" s="32" t="s">
        <v>9</v>
      </c>
      <c r="N6" s="2"/>
      <c r="O6" s="2" t="s">
        <v>23</v>
      </c>
      <c r="P6" s="32" t="s">
        <v>90</v>
      </c>
      <c r="Q6" s="32" t="s">
        <v>22</v>
      </c>
      <c r="R6" s="59" t="s">
        <v>117</v>
      </c>
      <c r="S6" s="32"/>
      <c r="T6" s="32"/>
      <c r="U6" s="32"/>
      <c r="V6" s="32" t="s">
        <v>4</v>
      </c>
      <c r="W6" s="100"/>
      <c r="X6" s="100"/>
    </row>
    <row r="7" spans="1:24" ht="25.5" x14ac:dyDescent="0.2">
      <c r="A7" s="6" t="str">
        <f>'Исходные данные'!A6</f>
        <v>Большекнышинский сельсовет</v>
      </c>
      <c r="B7" s="8">
        <f>'Исходные данные'!B6</f>
        <v>446</v>
      </c>
      <c r="C7" s="8">
        <f>'Исходные данные'!I6</f>
        <v>2</v>
      </c>
      <c r="D7" s="29">
        <v>0.5</v>
      </c>
      <c r="E7" s="8">
        <f>'Исходные данные'!H6</f>
        <v>40</v>
      </c>
      <c r="F7" s="29">
        <v>0.5</v>
      </c>
      <c r="G7" s="7">
        <f>'Исходные данные'!J6</f>
        <v>52428.4</v>
      </c>
      <c r="H7" s="7">
        <f>(G7/B7*B$23/C$23)/(G$23/B$23*B7/C7)</f>
        <v>3.2880557227906491</v>
      </c>
      <c r="I7" s="7">
        <f>'Исходные данные'!M6</f>
        <v>21</v>
      </c>
      <c r="J7" s="7">
        <f>'Исходные данные'!O6</f>
        <v>1</v>
      </c>
      <c r="K7" s="29">
        <v>1</v>
      </c>
      <c r="L7" s="33">
        <f t="shared" ref="L7:L20" si="0">(G$23/(I$23*10))/(G7/(I7*10))+J7*K7</f>
        <v>2.0275271221355684</v>
      </c>
      <c r="M7" s="34">
        <f>1+D7*H7+F7*L7</f>
        <v>3.6577914224631085</v>
      </c>
      <c r="N7" s="7">
        <f>'Исходные данные'!C6</f>
        <v>446</v>
      </c>
      <c r="O7" s="7">
        <f>N7/B7</f>
        <v>1</v>
      </c>
      <c r="P7" s="44">
        <v>0</v>
      </c>
      <c r="Q7" s="63">
        <f>1+P7*O7</f>
        <v>1</v>
      </c>
      <c r="R7" s="60">
        <f>(0.6*B7+0.4*$B$24)/B7</f>
        <v>1.2568385650224214</v>
      </c>
      <c r="S7" s="127">
        <v>6.415</v>
      </c>
      <c r="T7" s="74">
        <f>'прогноз расходов'!B5</f>
        <v>1445.9839999999999</v>
      </c>
      <c r="U7" s="63">
        <f>(1+S7/T7)/(1+S$23/T$23)</f>
        <v>0.96188102214118332</v>
      </c>
      <c r="V7" s="98">
        <f>U7*R7</f>
        <v>1.2089291635902248</v>
      </c>
      <c r="W7" s="101">
        <f>B7/C7/($B$23/$C$23)</f>
        <v>0.68509984639016897</v>
      </c>
      <c r="X7" s="101">
        <f>1/W7</f>
        <v>1.4596412556053813</v>
      </c>
    </row>
    <row r="8" spans="1:24" ht="25.5" x14ac:dyDescent="0.2">
      <c r="A8" s="6" t="str">
        <f>'Исходные данные'!A7</f>
        <v>Большесалбинский сельсовет</v>
      </c>
      <c r="B8" s="8">
        <f>'Исходные данные'!B7</f>
        <v>209</v>
      </c>
      <c r="C8" s="8">
        <f>'Исходные данные'!I7</f>
        <v>3</v>
      </c>
      <c r="D8" s="29">
        <v>0.5</v>
      </c>
      <c r="E8" s="8">
        <f>'Исходные данные'!H7</f>
        <v>33</v>
      </c>
      <c r="F8" s="29">
        <v>0.5</v>
      </c>
      <c r="G8" s="7">
        <f>'Исходные данные'!J7</f>
        <v>24668.7</v>
      </c>
      <c r="H8" s="7">
        <f t="shared" ref="H8:H22" si="1">(G8/B8*B$23/C$23)/(G$23/B$23*B8/C8)</f>
        <v>10.567864410277561</v>
      </c>
      <c r="I8" s="7">
        <f>'Исходные данные'!M7</f>
        <v>8.6</v>
      </c>
      <c r="J8" s="7">
        <f>'Исходные данные'!O7</f>
        <v>1</v>
      </c>
      <c r="K8" s="29">
        <v>1</v>
      </c>
      <c r="L8" s="33">
        <f t="shared" si="0"/>
        <v>1.8943196874378943</v>
      </c>
      <c r="M8" s="34">
        <f>1+D8*H8+F8*L8</f>
        <v>7.2310920488577279</v>
      </c>
      <c r="N8" s="7">
        <f>'Исходные данные'!C7</f>
        <v>209</v>
      </c>
      <c r="O8" s="7">
        <f>N8/B8</f>
        <v>1</v>
      </c>
      <c r="P8" s="44">
        <v>0</v>
      </c>
      <c r="Q8" s="63">
        <f>1+P8*O8</f>
        <v>1</v>
      </c>
      <c r="R8" s="60">
        <f t="shared" ref="R8:R22" si="2">(0.6*B8+0.4*$B$24)/B8</f>
        <v>2.0016746411483251</v>
      </c>
      <c r="S8" s="128">
        <v>397.74799999999999</v>
      </c>
      <c r="T8" s="74">
        <f>'прогноз расходов'!B6</f>
        <v>3113.0059999999999</v>
      </c>
      <c r="U8" s="63">
        <f t="shared" ref="U8:U22" si="3">(1+S8/T8)/(1+S$23/T$23)</f>
        <v>1.0799890297195933</v>
      </c>
      <c r="V8" s="98">
        <f t="shared" ref="V8:V22" si="4">U8*R8</f>
        <v>2.1617866535080945</v>
      </c>
      <c r="W8" s="101">
        <f t="shared" ref="W8:W22" si="5">B8/C8/($B$23/$C$23)</f>
        <v>0.21402969790066564</v>
      </c>
      <c r="X8" s="101">
        <f t="shared" ref="X8:X22" si="6">1/W8</f>
        <v>4.6722488038277508</v>
      </c>
    </row>
    <row r="9" spans="1:24" ht="25.5" x14ac:dyDescent="0.2">
      <c r="A9" s="6" t="str">
        <f>'Исходные данные'!A8</f>
        <v>Большетелекский сельсовет</v>
      </c>
      <c r="B9" s="8">
        <f>'Исходные данные'!B8</f>
        <v>436</v>
      </c>
      <c r="C9" s="8">
        <f>'Исходные данные'!I8</f>
        <v>1</v>
      </c>
      <c r="D9" s="29">
        <v>0.5</v>
      </c>
      <c r="E9" s="8">
        <f>'Исходные данные'!H8</f>
        <v>10</v>
      </c>
      <c r="F9" s="29">
        <v>0.5</v>
      </c>
      <c r="G9" s="7">
        <f>'Исходные данные'!J8</f>
        <v>11469.3</v>
      </c>
      <c r="H9" s="7">
        <f t="shared" si="1"/>
        <v>0.37633639516476741</v>
      </c>
      <c r="I9" s="7">
        <f>'Исходные данные'!M8</f>
        <v>6.62</v>
      </c>
      <c r="J9" s="7">
        <f>'Исходные данные'!O8</f>
        <v>1</v>
      </c>
      <c r="K9" s="29">
        <v>1</v>
      </c>
      <c r="L9" s="33">
        <f t="shared" si="0"/>
        <v>2.4806816028650456</v>
      </c>
      <c r="M9" s="34">
        <f t="shared" ref="M9:M22" si="7">1+D9*H9+F9*L9</f>
        <v>2.4285089990149062</v>
      </c>
      <c r="N9" s="7">
        <f>'Исходные данные'!C8</f>
        <v>436</v>
      </c>
      <c r="O9" s="7">
        <f t="shared" ref="O9:O23" si="8">N9/B9</f>
        <v>1</v>
      </c>
      <c r="P9" s="44">
        <v>0</v>
      </c>
      <c r="Q9" s="63">
        <f t="shared" ref="Q9:Q22" si="9">1+P9*O9</f>
        <v>1</v>
      </c>
      <c r="R9" s="60">
        <f t="shared" si="2"/>
        <v>1.2719036697247705</v>
      </c>
      <c r="S9" s="128">
        <v>73.283000000000001</v>
      </c>
      <c r="T9" s="74">
        <f>'прогноз расходов'!B7</f>
        <v>1462.1679999999999</v>
      </c>
      <c r="U9" s="63">
        <f t="shared" si="3"/>
        <v>1.0056285372339939</v>
      </c>
      <c r="V9" s="98">
        <f t="shared" si="4"/>
        <v>1.27906262688787</v>
      </c>
      <c r="W9" s="101">
        <f t="shared" si="5"/>
        <v>1.3394777265745008</v>
      </c>
      <c r="X9" s="101">
        <f t="shared" si="6"/>
        <v>0.74655963302752293</v>
      </c>
    </row>
    <row r="10" spans="1:24" ht="25.5" x14ac:dyDescent="0.2">
      <c r="A10" s="6" t="str">
        <f>'Исходные данные'!A9</f>
        <v>Большехабыкский сельсовет</v>
      </c>
      <c r="B10" s="8">
        <f>'Исходные данные'!B9</f>
        <v>471</v>
      </c>
      <c r="C10" s="8">
        <f>'Исходные данные'!I9</f>
        <v>1</v>
      </c>
      <c r="D10" s="29">
        <v>0.5</v>
      </c>
      <c r="E10" s="8">
        <f>'Исходные данные'!H9</f>
        <v>20</v>
      </c>
      <c r="F10" s="29">
        <v>0.5</v>
      </c>
      <c r="G10" s="7">
        <f>'Исходные данные'!J9</f>
        <v>7466.2</v>
      </c>
      <c r="H10" s="7">
        <f t="shared" si="1"/>
        <v>0.20992786627914831</v>
      </c>
      <c r="I10" s="7">
        <f>'Исходные данные'!M9</f>
        <v>13.41</v>
      </c>
      <c r="J10" s="7">
        <f>'Исходные данные'!O9</f>
        <v>1</v>
      </c>
      <c r="K10" s="29">
        <v>1</v>
      </c>
      <c r="L10" s="33">
        <f t="shared" si="0"/>
        <v>5.6075468736567222</v>
      </c>
      <c r="M10" s="34">
        <f t="shared" si="7"/>
        <v>3.9087373699679353</v>
      </c>
      <c r="N10" s="7">
        <f>'Исходные данные'!C9</f>
        <v>471</v>
      </c>
      <c r="O10" s="7">
        <f t="shared" si="8"/>
        <v>1</v>
      </c>
      <c r="P10" s="44">
        <v>0</v>
      </c>
      <c r="Q10" s="63">
        <f t="shared" si="9"/>
        <v>1</v>
      </c>
      <c r="R10" s="60">
        <f t="shared" si="2"/>
        <v>1.2219745222929936</v>
      </c>
      <c r="S10" s="128">
        <v>173.33099999999999</v>
      </c>
      <c r="T10" s="74">
        <f>'прогноз расходов'!B8</f>
        <v>1735.51</v>
      </c>
      <c r="U10" s="63">
        <f t="shared" si="3"/>
        <v>1.0532744192936438</v>
      </c>
      <c r="V10" s="98">
        <f t="shared" si="4"/>
        <v>1.2870745053597807</v>
      </c>
      <c r="W10" s="101">
        <f t="shared" si="5"/>
        <v>1.4470046082949308</v>
      </c>
      <c r="X10" s="101">
        <f t="shared" si="6"/>
        <v>0.69108280254777077</v>
      </c>
    </row>
    <row r="11" spans="1:24" ht="25.5" x14ac:dyDescent="0.2">
      <c r="A11" s="6" t="str">
        <f>'Исходные данные'!A10</f>
        <v>Добромысловский сельсовет</v>
      </c>
      <c r="B11" s="8">
        <f>'Исходные данные'!B10</f>
        <v>642</v>
      </c>
      <c r="C11" s="8">
        <f>'Исходные данные'!I10</f>
        <v>4</v>
      </c>
      <c r="D11" s="29">
        <v>0.5</v>
      </c>
      <c r="E11" s="8">
        <f>'Исходные данные'!H10</f>
        <v>30</v>
      </c>
      <c r="F11" s="29">
        <v>0.5</v>
      </c>
      <c r="G11" s="7">
        <f>'Исходные данные'!J10</f>
        <v>34290</v>
      </c>
      <c r="H11" s="7">
        <f t="shared" si="1"/>
        <v>2.0757244781192599</v>
      </c>
      <c r="I11" s="7">
        <f>'Исходные данные'!M10</f>
        <v>19.34</v>
      </c>
      <c r="J11" s="7">
        <f>'Исходные данные'!O10</f>
        <v>1</v>
      </c>
      <c r="K11" s="29">
        <v>1</v>
      </c>
      <c r="L11" s="33">
        <f t="shared" si="0"/>
        <v>2.4468702543336729</v>
      </c>
      <c r="M11" s="34">
        <f t="shared" si="7"/>
        <v>3.2612973662264664</v>
      </c>
      <c r="N11" s="7">
        <f>'Исходные данные'!C10</f>
        <v>642</v>
      </c>
      <c r="O11" s="7">
        <f t="shared" si="8"/>
        <v>1</v>
      </c>
      <c r="P11" s="44">
        <v>0</v>
      </c>
      <c r="Q11" s="63">
        <f t="shared" si="9"/>
        <v>1</v>
      </c>
      <c r="R11" s="60">
        <f t="shared" si="2"/>
        <v>1.0563084112149532</v>
      </c>
      <c r="S11" s="128">
        <v>197.59100000000001</v>
      </c>
      <c r="T11" s="74">
        <f>'прогноз расходов'!B9</f>
        <v>2147.8850000000002</v>
      </c>
      <c r="U11" s="63">
        <f t="shared" si="3"/>
        <v>1.045728322923958</v>
      </c>
      <c r="V11" s="98">
        <f t="shared" si="4"/>
        <v>1.1046116233502836</v>
      </c>
      <c r="W11" s="101">
        <f t="shared" si="5"/>
        <v>0.49308755760368661</v>
      </c>
      <c r="X11" s="101">
        <f t="shared" si="6"/>
        <v>2.02803738317757</v>
      </c>
    </row>
    <row r="12" spans="1:24" ht="25.5" x14ac:dyDescent="0.2">
      <c r="A12" s="6" t="str">
        <f>'Исходные данные'!A11</f>
        <v>Екатерининский сельсовет</v>
      </c>
      <c r="B12" s="8">
        <f>'Исходные данные'!B11</f>
        <v>521</v>
      </c>
      <c r="C12" s="8">
        <f>'Исходные данные'!I11</f>
        <v>2</v>
      </c>
      <c r="D12" s="29">
        <v>0.5</v>
      </c>
      <c r="E12" s="8">
        <f>'Исходные данные'!H11</f>
        <v>29</v>
      </c>
      <c r="F12" s="29">
        <v>0.5</v>
      </c>
      <c r="G12" s="7">
        <f>'Исходные данные'!J11</f>
        <v>31367.7</v>
      </c>
      <c r="H12" s="7">
        <f t="shared" si="1"/>
        <v>1.4416157262852838</v>
      </c>
      <c r="I12" s="7">
        <f>'Исходные данные'!M11</f>
        <v>12.7</v>
      </c>
      <c r="J12" s="7">
        <f>'Исходные данные'!O11</f>
        <v>1</v>
      </c>
      <c r="K12" s="29">
        <v>1</v>
      </c>
      <c r="L12" s="33">
        <f t="shared" si="0"/>
        <v>2.0386318800810566</v>
      </c>
      <c r="M12" s="34">
        <f t="shared" si="7"/>
        <v>2.7401238031831703</v>
      </c>
      <c r="N12" s="7">
        <f>'Исходные данные'!C11</f>
        <v>521</v>
      </c>
      <c r="O12" s="7">
        <f t="shared" si="8"/>
        <v>1</v>
      </c>
      <c r="P12" s="44">
        <v>0</v>
      </c>
      <c r="Q12" s="63">
        <f t="shared" si="9"/>
        <v>1</v>
      </c>
      <c r="R12" s="60">
        <f t="shared" si="2"/>
        <v>1.1622840690978886</v>
      </c>
      <c r="S12" s="128">
        <v>18.603999999999999</v>
      </c>
      <c r="T12" s="74">
        <f>'прогноз расходов'!B10</f>
        <v>1527.5989999999999</v>
      </c>
      <c r="U12" s="63">
        <f>(1+S12/T12)/(1+S$23/T$23)</f>
        <v>0.96929516992449138</v>
      </c>
      <c r="V12" s="98">
        <f t="shared" si="4"/>
        <v>1.1265963342567673</v>
      </c>
      <c r="W12" s="101">
        <f t="shared" si="5"/>
        <v>0.80030721966205842</v>
      </c>
      <c r="X12" s="101">
        <f t="shared" si="6"/>
        <v>1.2495201535508635</v>
      </c>
    </row>
    <row r="13" spans="1:24" ht="15" customHeight="1" x14ac:dyDescent="0.2">
      <c r="A13" s="6" t="str">
        <f>'Исходные данные'!A12</f>
        <v>Идринский сельсовет</v>
      </c>
      <c r="B13" s="8">
        <f>'Исходные данные'!B12</f>
        <v>5352</v>
      </c>
      <c r="C13" s="8">
        <f>'Исходные данные'!I12</f>
        <v>3</v>
      </c>
      <c r="D13" s="29">
        <v>0.5</v>
      </c>
      <c r="E13" s="8">
        <f>'Исходные данные'!H12</f>
        <v>0</v>
      </c>
      <c r="F13" s="29">
        <v>0.5</v>
      </c>
      <c r="G13" s="7">
        <f>'Исходные данные'!J12</f>
        <v>15176</v>
      </c>
      <c r="H13" s="7">
        <f t="shared" si="1"/>
        <v>9.9142222315479461E-3</v>
      </c>
      <c r="I13" s="7">
        <f>'Исходные данные'!M12</f>
        <v>53.65</v>
      </c>
      <c r="J13" s="7">
        <f>'Исходные данные'!O12</f>
        <v>1</v>
      </c>
      <c r="K13" s="29">
        <v>1</v>
      </c>
      <c r="L13" s="33">
        <f t="shared" si="0"/>
        <v>10.068866566727385</v>
      </c>
      <c r="M13" s="34">
        <f t="shared" si="7"/>
        <v>6.0393903944794669</v>
      </c>
      <c r="N13" s="7">
        <f>'Исходные данные'!C12</f>
        <v>5352</v>
      </c>
      <c r="O13" s="7">
        <f t="shared" si="8"/>
        <v>1</v>
      </c>
      <c r="P13" s="44">
        <v>0</v>
      </c>
      <c r="Q13" s="63">
        <f t="shared" si="9"/>
        <v>1</v>
      </c>
      <c r="R13" s="60">
        <f t="shared" si="2"/>
        <v>0.65473654708520168</v>
      </c>
      <c r="S13" s="128">
        <v>88.808999999999997</v>
      </c>
      <c r="T13" s="74">
        <f>'прогноз расходов'!B11</f>
        <v>6474.04</v>
      </c>
      <c r="U13" s="63">
        <f t="shared" si="3"/>
        <v>0.97076908205935053</v>
      </c>
      <c r="V13" s="98">
        <f t="shared" si="4"/>
        <v>0.63559799680460993</v>
      </c>
      <c r="W13" s="101">
        <f t="shared" si="5"/>
        <v>5.4807987711213517</v>
      </c>
      <c r="X13" s="101">
        <f t="shared" si="6"/>
        <v>0.18245515695067266</v>
      </c>
    </row>
    <row r="14" spans="1:24" ht="14.25" customHeight="1" x14ac:dyDescent="0.2">
      <c r="A14" s="6" t="str">
        <f>'Исходные данные'!A13</f>
        <v>Курежский сельсовет</v>
      </c>
      <c r="B14" s="8">
        <f>'Исходные данные'!B13</f>
        <v>341</v>
      </c>
      <c r="C14" s="8">
        <f>'Исходные данные'!I13</f>
        <v>1</v>
      </c>
      <c r="D14" s="29">
        <v>0.5</v>
      </c>
      <c r="E14" s="8">
        <f>'Исходные данные'!H13</f>
        <v>23</v>
      </c>
      <c r="F14" s="29">
        <v>0.5</v>
      </c>
      <c r="G14" s="7">
        <f>'Исходные данные'!J13</f>
        <v>9026.7999999999993</v>
      </c>
      <c r="H14" s="7">
        <f t="shared" si="1"/>
        <v>0.48421400754640026</v>
      </c>
      <c r="I14" s="7">
        <f>'Исходные данные'!M13</f>
        <v>9.1999999999999993</v>
      </c>
      <c r="J14" s="7">
        <f>'Исходные данные'!O13</f>
        <v>1</v>
      </c>
      <c r="K14" s="29">
        <v>1</v>
      </c>
      <c r="L14" s="33">
        <f t="shared" si="0"/>
        <v>3.6145359074965464</v>
      </c>
      <c r="M14" s="34">
        <f t="shared" si="7"/>
        <v>3.049374957521473</v>
      </c>
      <c r="N14" s="7">
        <f>'Исходные данные'!C13</f>
        <v>341</v>
      </c>
      <c r="O14" s="7">
        <f t="shared" si="8"/>
        <v>1</v>
      </c>
      <c r="P14" s="44">
        <v>0</v>
      </c>
      <c r="Q14" s="63">
        <f t="shared" si="9"/>
        <v>1</v>
      </c>
      <c r="R14" s="60">
        <f t="shared" si="2"/>
        <v>1.459090909090909</v>
      </c>
      <c r="S14" s="128">
        <v>25.661000000000001</v>
      </c>
      <c r="T14" s="74">
        <f>'прогноз расходов'!B12</f>
        <v>1686.442</v>
      </c>
      <c r="U14" s="63">
        <f t="shared" si="3"/>
        <v>0.97220394977177005</v>
      </c>
      <c r="V14" s="98">
        <f t="shared" si="4"/>
        <v>1.4185339448942644</v>
      </c>
      <c r="W14" s="101">
        <f t="shared" si="5"/>
        <v>1.0476190476190477</v>
      </c>
      <c r="X14" s="101">
        <f t="shared" si="6"/>
        <v>0.95454545454545447</v>
      </c>
    </row>
    <row r="15" spans="1:24" ht="15" customHeight="1" x14ac:dyDescent="0.2">
      <c r="A15" s="6" t="str">
        <f>'Исходные данные'!A14</f>
        <v>Майский сельсовет</v>
      </c>
      <c r="B15" s="8">
        <f>'Исходные данные'!B14</f>
        <v>350</v>
      </c>
      <c r="C15" s="8">
        <f>'Исходные данные'!I14</f>
        <v>2</v>
      </c>
      <c r="D15" s="29">
        <v>0.5</v>
      </c>
      <c r="E15" s="8">
        <f>'Исходные данные'!H14</f>
        <v>12</v>
      </c>
      <c r="F15" s="29">
        <v>0.5</v>
      </c>
      <c r="G15" s="7">
        <f>'Исходные данные'!J14</f>
        <v>7334.5</v>
      </c>
      <c r="H15" s="7">
        <f t="shared" si="1"/>
        <v>0.74692450228456875</v>
      </c>
      <c r="I15" s="7">
        <f>'Исходные данные'!M14</f>
        <v>6.1</v>
      </c>
      <c r="J15" s="7">
        <f>'Исходные данные'!O14</f>
        <v>1</v>
      </c>
      <c r="K15" s="29">
        <v>1</v>
      </c>
      <c r="L15" s="33">
        <f t="shared" si="0"/>
        <v>3.1335357564416815</v>
      </c>
      <c r="M15" s="34">
        <f t="shared" si="7"/>
        <v>2.9402301293631252</v>
      </c>
      <c r="N15" s="7">
        <f>'Исходные данные'!C14</f>
        <v>350</v>
      </c>
      <c r="O15" s="7">
        <f t="shared" si="8"/>
        <v>1</v>
      </c>
      <c r="P15" s="44">
        <v>0</v>
      </c>
      <c r="Q15" s="63">
        <f t="shared" si="9"/>
        <v>1</v>
      </c>
      <c r="R15" s="60">
        <f t="shared" si="2"/>
        <v>1.4370000000000001</v>
      </c>
      <c r="S15" s="128">
        <v>0</v>
      </c>
      <c r="T15" s="74">
        <f>'прогноз расходов'!B13</f>
        <v>1391.9349999999999</v>
      </c>
      <c r="U15" s="63">
        <f t="shared" si="3"/>
        <v>0.95763255683858006</v>
      </c>
      <c r="V15" s="98">
        <f t="shared" si="4"/>
        <v>1.3761179841770397</v>
      </c>
      <c r="W15" s="101">
        <f t="shared" si="5"/>
        <v>0.5376344086021505</v>
      </c>
      <c r="X15" s="101">
        <f t="shared" si="6"/>
        <v>1.86</v>
      </c>
    </row>
    <row r="16" spans="1:24" ht="25.5" x14ac:dyDescent="0.2">
      <c r="A16" s="6" t="str">
        <f>'Исходные данные'!A15</f>
        <v>Малохабыкский сельсовет</v>
      </c>
      <c r="B16" s="8">
        <f>'Исходные данные'!B15</f>
        <v>298</v>
      </c>
      <c r="C16" s="8">
        <f>'Исходные данные'!I15</f>
        <v>1</v>
      </c>
      <c r="D16" s="29">
        <v>0.5</v>
      </c>
      <c r="E16" s="8">
        <f>'Исходные данные'!H15</f>
        <v>10</v>
      </c>
      <c r="F16" s="29">
        <v>0.5</v>
      </c>
      <c r="G16" s="7">
        <f>'Исходные данные'!J15</f>
        <v>7123.1</v>
      </c>
      <c r="H16" s="7">
        <f t="shared" si="1"/>
        <v>0.50032107809074389</v>
      </c>
      <c r="I16" s="7">
        <f>'Исходные данные'!M15</f>
        <v>13.32</v>
      </c>
      <c r="J16" s="7">
        <f>'Исходные данные'!O15</f>
        <v>1</v>
      </c>
      <c r="K16" s="29">
        <v>1</v>
      </c>
      <c r="L16" s="33">
        <f t="shared" si="0"/>
        <v>5.7970670311594983</v>
      </c>
      <c r="M16" s="34">
        <f t="shared" si="7"/>
        <v>4.1486940546251212</v>
      </c>
      <c r="N16" s="7">
        <f>'Исходные данные'!C15</f>
        <v>298</v>
      </c>
      <c r="O16" s="7">
        <f t="shared" si="8"/>
        <v>1</v>
      </c>
      <c r="P16" s="44">
        <v>0</v>
      </c>
      <c r="Q16" s="63">
        <f t="shared" si="9"/>
        <v>1</v>
      </c>
      <c r="R16" s="60">
        <f t="shared" si="2"/>
        <v>1.5830536912751678</v>
      </c>
      <c r="S16" s="128">
        <v>0</v>
      </c>
      <c r="T16" s="74">
        <f>'прогноз расходов'!B14</f>
        <v>1509.6579999999999</v>
      </c>
      <c r="U16" s="63">
        <f t="shared" si="3"/>
        <v>0.95763255683858006</v>
      </c>
      <c r="V16" s="98">
        <f t="shared" si="4"/>
        <v>1.5159837539885912</v>
      </c>
      <c r="W16" s="101">
        <f t="shared" si="5"/>
        <v>0.91551459293394777</v>
      </c>
      <c r="X16" s="101">
        <f t="shared" si="6"/>
        <v>1.0922818791946309</v>
      </c>
    </row>
    <row r="17" spans="1:24" ht="15" customHeight="1" x14ac:dyDescent="0.2">
      <c r="A17" s="6" t="str">
        <f>'Исходные данные'!A16</f>
        <v>Никольский сельсовет</v>
      </c>
      <c r="B17" s="8">
        <f>'Исходные данные'!B16</f>
        <v>573</v>
      </c>
      <c r="C17" s="8">
        <f>'Исходные данные'!I16</f>
        <v>3</v>
      </c>
      <c r="D17" s="29">
        <v>0.5</v>
      </c>
      <c r="E17" s="8">
        <f>'Исходные данные'!H16</f>
        <v>23</v>
      </c>
      <c r="F17" s="29">
        <v>0.5</v>
      </c>
      <c r="G17" s="7">
        <f>'Исходные данные'!J16</f>
        <v>20584.5</v>
      </c>
      <c r="H17" s="7">
        <f t="shared" si="1"/>
        <v>1.1731799163080583</v>
      </c>
      <c r="I17" s="7">
        <f>'Исходные данные'!M16</f>
        <v>14.6</v>
      </c>
      <c r="J17" s="7">
        <f>'Исходные данные'!O16</f>
        <v>1</v>
      </c>
      <c r="K17" s="29">
        <v>1</v>
      </c>
      <c r="L17" s="33">
        <f t="shared" si="0"/>
        <v>2.8195045124441007</v>
      </c>
      <c r="M17" s="34">
        <f t="shared" si="7"/>
        <v>2.9963422143760794</v>
      </c>
      <c r="N17" s="7">
        <f>'Исходные данные'!C16</f>
        <v>573</v>
      </c>
      <c r="O17" s="7">
        <f t="shared" si="8"/>
        <v>1</v>
      </c>
      <c r="P17" s="44">
        <v>0</v>
      </c>
      <c r="Q17" s="63">
        <f t="shared" si="9"/>
        <v>1</v>
      </c>
      <c r="R17" s="60">
        <f t="shared" si="2"/>
        <v>1.1112565445026179</v>
      </c>
      <c r="S17" s="128">
        <v>244.55099999999999</v>
      </c>
      <c r="T17" s="74">
        <f>'прогноз расходов'!B15</f>
        <v>1664.4359999999999</v>
      </c>
      <c r="U17" s="63">
        <f t="shared" si="3"/>
        <v>1.0983348724622697</v>
      </c>
      <c r="V17" s="98">
        <f t="shared" si="4"/>
        <v>1.2205318150791453</v>
      </c>
      <c r="W17" s="101">
        <f t="shared" si="5"/>
        <v>0.58678955453149007</v>
      </c>
      <c r="X17" s="101">
        <f t="shared" si="6"/>
        <v>1.7041884816753925</v>
      </c>
    </row>
    <row r="18" spans="1:24" ht="25.5" x14ac:dyDescent="0.2">
      <c r="A18" s="6" t="str">
        <f>'Исходные данные'!A17</f>
        <v>Новоберезовский сельсовет</v>
      </c>
      <c r="B18" s="8">
        <f>'Исходные данные'!B17</f>
        <v>459</v>
      </c>
      <c r="C18" s="8">
        <f>'Исходные данные'!I17</f>
        <v>1</v>
      </c>
      <c r="D18" s="29">
        <v>0.5</v>
      </c>
      <c r="E18" s="8">
        <f>'Исходные данные'!H17</f>
        <v>22</v>
      </c>
      <c r="F18" s="29">
        <v>0.5</v>
      </c>
      <c r="G18" s="7">
        <f>'Исходные данные'!J17</f>
        <v>6244.1</v>
      </c>
      <c r="H18" s="7">
        <f t="shared" si="1"/>
        <v>0.18486588114385913</v>
      </c>
      <c r="I18" s="7">
        <f>'Исходные данные'!M17</f>
        <v>10.3</v>
      </c>
      <c r="J18" s="7">
        <f>'Исходные данные'!O17</f>
        <v>1</v>
      </c>
      <c r="K18" s="29">
        <v>1</v>
      </c>
      <c r="L18" s="33">
        <f t="shared" si="0"/>
        <v>5.2316328373434118</v>
      </c>
      <c r="M18" s="34">
        <f t="shared" si="7"/>
        <v>3.7082493592436352</v>
      </c>
      <c r="N18" s="7">
        <f>'Исходные данные'!C17</f>
        <v>459</v>
      </c>
      <c r="O18" s="7">
        <f t="shared" si="8"/>
        <v>1</v>
      </c>
      <c r="P18" s="44">
        <v>0</v>
      </c>
      <c r="Q18" s="63">
        <f t="shared" si="9"/>
        <v>1</v>
      </c>
      <c r="R18" s="60">
        <f t="shared" si="2"/>
        <v>1.2382352941176469</v>
      </c>
      <c r="S18" s="128">
        <v>80.191000000000003</v>
      </c>
      <c r="T18" s="74">
        <f>'прогноз расходов'!B16</f>
        <v>1557.1980000000001</v>
      </c>
      <c r="U18" s="63">
        <f t="shared" si="3"/>
        <v>1.006947744994128</v>
      </c>
      <c r="V18" s="98">
        <f t="shared" si="4"/>
        <v>1.2468382371839053</v>
      </c>
      <c r="W18" s="101">
        <f t="shared" si="5"/>
        <v>1.4101382488479262</v>
      </c>
      <c r="X18" s="101">
        <f t="shared" si="6"/>
        <v>0.70915032679738566</v>
      </c>
    </row>
    <row r="19" spans="1:24" ht="15" customHeight="1" x14ac:dyDescent="0.2">
      <c r="A19" s="6" t="str">
        <f>'Исходные данные'!A18</f>
        <v>Новотроицкий сельсовет</v>
      </c>
      <c r="B19" s="8">
        <f>'Исходные данные'!B18</f>
        <v>231</v>
      </c>
      <c r="C19" s="8">
        <f>'Исходные данные'!I18</f>
        <v>2</v>
      </c>
      <c r="D19" s="29">
        <v>0.5</v>
      </c>
      <c r="E19" s="8">
        <f>'Исходные данные'!H18</f>
        <v>44</v>
      </c>
      <c r="F19" s="29">
        <v>0.5</v>
      </c>
      <c r="G19" s="7">
        <f>'Исходные данные'!J18</f>
        <v>68721.8</v>
      </c>
      <c r="H19" s="7">
        <f>(G19/B19*B$23/C$23)/(G$23/B$23*B19/C19)</f>
        <v>16.066188149349539</v>
      </c>
      <c r="I19" s="7">
        <f>'Исходные данные'!M18</f>
        <v>5</v>
      </c>
      <c r="J19" s="7">
        <f>'Исходные данные'!O18</f>
        <v>1</v>
      </c>
      <c r="K19" s="29">
        <v>1</v>
      </c>
      <c r="L19" s="33">
        <f t="shared" si="0"/>
        <v>1.1866448803109835</v>
      </c>
      <c r="M19" s="34">
        <f t="shared" si="7"/>
        <v>9.626416514830261</v>
      </c>
      <c r="N19" s="7">
        <f>'Исходные данные'!C18</f>
        <v>231</v>
      </c>
      <c r="O19" s="7">
        <f t="shared" si="8"/>
        <v>1</v>
      </c>
      <c r="P19" s="44">
        <v>0</v>
      </c>
      <c r="Q19" s="63">
        <f t="shared" si="9"/>
        <v>1</v>
      </c>
      <c r="R19" s="60">
        <f t="shared" si="2"/>
        <v>1.8681818181818179</v>
      </c>
      <c r="S19" s="128">
        <v>97.35</v>
      </c>
      <c r="T19" s="74">
        <f>'прогноз расходов'!B17</f>
        <v>1702.499</v>
      </c>
      <c r="U19" s="63">
        <f t="shared" si="3"/>
        <v>1.0123906092123176</v>
      </c>
      <c r="V19" s="98">
        <f t="shared" si="4"/>
        <v>1.8913297290284659</v>
      </c>
      <c r="W19" s="101">
        <f t="shared" si="5"/>
        <v>0.35483870967741937</v>
      </c>
      <c r="X19" s="101">
        <f t="shared" si="6"/>
        <v>2.8181818181818179</v>
      </c>
    </row>
    <row r="20" spans="1:24" ht="15" customHeight="1" x14ac:dyDescent="0.2">
      <c r="A20" s="6" t="str">
        <f>'Исходные данные'!A19</f>
        <v>Отрокский сельсовет</v>
      </c>
      <c r="B20" s="8">
        <f>'Исходные данные'!B19</f>
        <v>623</v>
      </c>
      <c r="C20" s="8">
        <f>'Исходные данные'!I19</f>
        <v>3</v>
      </c>
      <c r="D20" s="29">
        <v>0.5</v>
      </c>
      <c r="E20" s="8">
        <f>'Исходные данные'!H19</f>
        <v>37</v>
      </c>
      <c r="F20" s="29">
        <v>0.5</v>
      </c>
      <c r="G20" s="7">
        <f>'Исходные данные'!J19</f>
        <v>104428</v>
      </c>
      <c r="H20" s="7">
        <f t="shared" si="1"/>
        <v>5.0347093995558811</v>
      </c>
      <c r="I20" s="7">
        <f>'Исходные данные'!M19</f>
        <v>13.43</v>
      </c>
      <c r="J20" s="7">
        <f>'Исходные данные'!O19</f>
        <v>1</v>
      </c>
      <c r="K20" s="29">
        <v>1</v>
      </c>
      <c r="L20" s="33">
        <f t="shared" si="0"/>
        <v>1.3299131722970741</v>
      </c>
      <c r="M20" s="34">
        <f t="shared" si="7"/>
        <v>4.1823112859264775</v>
      </c>
      <c r="N20" s="7">
        <f>'Исходные данные'!C19</f>
        <v>623</v>
      </c>
      <c r="O20" s="7">
        <f t="shared" si="8"/>
        <v>1</v>
      </c>
      <c r="P20" s="44">
        <v>0</v>
      </c>
      <c r="Q20" s="63">
        <f t="shared" si="9"/>
        <v>1</v>
      </c>
      <c r="R20" s="60">
        <f t="shared" si="2"/>
        <v>1.0702247191011236</v>
      </c>
      <c r="S20" s="128">
        <v>41.7</v>
      </c>
      <c r="T20" s="74">
        <f>'прогноз расходов'!B18</f>
        <v>2609.9630000000002</v>
      </c>
      <c r="U20" s="63">
        <f t="shared" si="3"/>
        <v>0.97293288010759527</v>
      </c>
      <c r="V20" s="98">
        <f t="shared" si="4"/>
        <v>1.0412568183173982</v>
      </c>
      <c r="W20" s="101">
        <f t="shared" si="5"/>
        <v>0.63799283154121866</v>
      </c>
      <c r="X20" s="101">
        <f t="shared" si="6"/>
        <v>1.5674157303370786</v>
      </c>
    </row>
    <row r="21" spans="1:24" ht="15" customHeight="1" x14ac:dyDescent="0.2">
      <c r="A21" s="6" t="str">
        <f>'Исходные данные'!A20</f>
        <v>Романовский сельсовет</v>
      </c>
      <c r="B21" s="8">
        <f>'Исходные данные'!B20</f>
        <v>407</v>
      </c>
      <c r="C21" s="8">
        <f>'Исходные данные'!I20</f>
        <v>5</v>
      </c>
      <c r="D21" s="29">
        <v>0.5</v>
      </c>
      <c r="E21" s="8">
        <f>'Исходные данные'!H20</f>
        <v>61</v>
      </c>
      <c r="F21" s="29">
        <v>0.5</v>
      </c>
      <c r="G21" s="7">
        <f>'Исходные данные'!J20</f>
        <v>194052.9</v>
      </c>
      <c r="H21" s="7">
        <f t="shared" si="1"/>
        <v>36.535378403102179</v>
      </c>
      <c r="I21" s="7">
        <f>'Исходные данные'!M20</f>
        <v>22.69</v>
      </c>
      <c r="J21" s="7">
        <f>'Исходные данные'!O20</f>
        <v>1</v>
      </c>
      <c r="K21" s="29">
        <v>1</v>
      </c>
      <c r="L21" s="33">
        <f>(G$23/(I$23*10))/(G21/(I21*10))+J21*K21</f>
        <v>1.299954210177007</v>
      </c>
      <c r="M21" s="34">
        <f t="shared" si="7"/>
        <v>19.917666306639592</v>
      </c>
      <c r="N21" s="7">
        <f>'Исходные данные'!C20</f>
        <v>407</v>
      </c>
      <c r="O21" s="7">
        <f t="shared" si="8"/>
        <v>1</v>
      </c>
      <c r="P21" s="44">
        <v>0</v>
      </c>
      <c r="Q21" s="63">
        <f t="shared" si="9"/>
        <v>1</v>
      </c>
      <c r="R21" s="60">
        <f t="shared" si="2"/>
        <v>1.3197788697788697</v>
      </c>
      <c r="S21" s="128">
        <v>21.17</v>
      </c>
      <c r="T21" s="74">
        <f>'прогноз расходов'!B19</f>
        <v>1827.7429999999999</v>
      </c>
      <c r="U21" s="63">
        <f t="shared" si="3"/>
        <v>0.96872442327071673</v>
      </c>
      <c r="V21" s="98">
        <f t="shared" si="4"/>
        <v>1.2785020244714138</v>
      </c>
      <c r="W21" s="101">
        <f t="shared" si="5"/>
        <v>0.25007680491551459</v>
      </c>
      <c r="X21" s="101">
        <f t="shared" si="6"/>
        <v>3.9987714987714988</v>
      </c>
    </row>
    <row r="22" spans="1:24" ht="15.75" customHeight="1" x14ac:dyDescent="0.2">
      <c r="A22" s="6" t="str">
        <f>'Исходные данные'!A21</f>
        <v>Центральный сельсовет</v>
      </c>
      <c r="B22" s="8">
        <f>'Исходные данные'!B21</f>
        <v>359</v>
      </c>
      <c r="C22" s="8">
        <f>'Исходные данные'!I21</f>
        <v>2</v>
      </c>
      <c r="D22" s="29">
        <v>0.5</v>
      </c>
      <c r="E22" s="8">
        <f>'Исходные данные'!H21</f>
        <v>8</v>
      </c>
      <c r="F22" s="29">
        <v>0.5</v>
      </c>
      <c r="G22" s="7">
        <f>'Исходные данные'!J21</f>
        <v>17112</v>
      </c>
      <c r="H22" s="7">
        <f t="shared" si="1"/>
        <v>1.6563577975963317</v>
      </c>
      <c r="I22" s="7">
        <f>'Исходные данные'!M21</f>
        <v>8.41</v>
      </c>
      <c r="J22" s="7">
        <f>'Исходные данные'!O21</f>
        <v>1</v>
      </c>
      <c r="K22" s="29">
        <v>1</v>
      </c>
      <c r="L22" s="33">
        <f>(G$23/(I$23*10))/(G22/(I22*10))+J22*K22</f>
        <v>2.2607698885191958</v>
      </c>
      <c r="M22" s="34">
        <f t="shared" si="7"/>
        <v>2.9585638430577639</v>
      </c>
      <c r="N22" s="7">
        <f>'Исходные данные'!C21</f>
        <v>359</v>
      </c>
      <c r="O22" s="7">
        <f t="shared" si="8"/>
        <v>1</v>
      </c>
      <c r="P22" s="44">
        <v>0</v>
      </c>
      <c r="Q22" s="63">
        <f t="shared" si="9"/>
        <v>1</v>
      </c>
      <c r="R22" s="60">
        <f t="shared" si="2"/>
        <v>1.4160167130919221</v>
      </c>
      <c r="S22" s="128">
        <v>20.896999999999998</v>
      </c>
      <c r="T22" s="74">
        <f>'прогноз расходов'!B20</f>
        <v>1761.442</v>
      </c>
      <c r="U22" s="63">
        <f t="shared" si="3"/>
        <v>0.96899350289315123</v>
      </c>
      <c r="V22" s="98">
        <f t="shared" si="4"/>
        <v>1.3721109949741879</v>
      </c>
      <c r="W22" s="101">
        <f t="shared" si="5"/>
        <v>0.55145929339477728</v>
      </c>
      <c r="X22" s="101">
        <f t="shared" si="6"/>
        <v>1.8133704735376044</v>
      </c>
    </row>
    <row r="23" spans="1:24" s="14" customFormat="1" ht="18" customHeight="1" x14ac:dyDescent="0.2">
      <c r="A23" s="10" t="s">
        <v>31</v>
      </c>
      <c r="B23" s="11">
        <f>SUM(B7:B22)</f>
        <v>11718</v>
      </c>
      <c r="C23" s="11">
        <f>SUM(C7:C22)</f>
        <v>36</v>
      </c>
      <c r="D23" s="41" t="s">
        <v>26</v>
      </c>
      <c r="E23" s="11">
        <f>SUM(E7:E22)</f>
        <v>402</v>
      </c>
      <c r="F23" s="41" t="s">
        <v>26</v>
      </c>
      <c r="G23" s="11">
        <f>SUM(G7:G22)</f>
        <v>611494</v>
      </c>
      <c r="H23" s="11">
        <f>(G23/B23*B$23/C$23)/(G$23/B$23*B23/C23)</f>
        <v>1</v>
      </c>
      <c r="I23" s="11">
        <f>SUM(I7:I22)</f>
        <v>238.36999999999998</v>
      </c>
      <c r="J23" s="39" t="s">
        <v>26</v>
      </c>
      <c r="K23" s="41" t="s">
        <v>26</v>
      </c>
      <c r="L23" s="39" t="s">
        <v>26</v>
      </c>
      <c r="M23" s="39" t="s">
        <v>26</v>
      </c>
      <c r="N23" s="11">
        <f>SUM(N7:N22)</f>
        <v>11718</v>
      </c>
      <c r="O23" s="11">
        <f t="shared" si="8"/>
        <v>1</v>
      </c>
      <c r="P23" s="41" t="s">
        <v>26</v>
      </c>
      <c r="Q23" s="39" t="s">
        <v>26</v>
      </c>
      <c r="R23" s="69" t="s">
        <v>26</v>
      </c>
      <c r="S23" s="129">
        <f>SUM(S7:S22)</f>
        <v>1487.3009999999999</v>
      </c>
      <c r="T23" s="11">
        <f>SUM(T7:T22)</f>
        <v>33617.508000000002</v>
      </c>
      <c r="U23" s="64">
        <f>(1+S23/T23)/(1+S$23/T$23)</f>
        <v>1</v>
      </c>
      <c r="V23" s="46">
        <f>SUMPRODUCT(V7:V22,B7:B22)/B23</f>
        <v>0.99334727699002501</v>
      </c>
      <c r="W23" s="10"/>
      <c r="X23" s="10"/>
    </row>
    <row r="24" spans="1:24" ht="52.5" customHeight="1" x14ac:dyDescent="0.2">
      <c r="A24" s="89" t="s">
        <v>131</v>
      </c>
      <c r="B24" s="90">
        <f>B23/16</f>
        <v>732.375</v>
      </c>
    </row>
  </sheetData>
  <mergeCells count="10">
    <mergeCell ref="W2:W3"/>
    <mergeCell ref="X2:X3"/>
    <mergeCell ref="A1:V1"/>
    <mergeCell ref="C2:M2"/>
    <mergeCell ref="V2:V3"/>
    <mergeCell ref="A2:A3"/>
    <mergeCell ref="B2:B3"/>
    <mergeCell ref="N2:Q2"/>
    <mergeCell ref="R2:R3"/>
    <mergeCell ref="S2:U2"/>
  </mergeCells>
  <phoneticPr fontId="3" type="noConversion"/>
  <pageMargins left="1.0236220472440944" right="0.27559055118110237" top="0.59055118110236227" bottom="0.39370078740157483" header="0.51181102362204722" footer="0.51181102362204722"/>
  <pageSetup paperSize="9" scale="84" orientation="landscape" r:id="rId1"/>
  <headerFooter alignWithMargins="0"/>
  <colBreaks count="1" manualBreakCount="1">
    <brk id="12" max="23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view="pageBreakPreview" zoomScale="90" zoomScaleNormal="100" zoomScaleSheetLayoutView="90" workbookViewId="0">
      <selection activeCell="S4" sqref="S4"/>
    </sheetView>
  </sheetViews>
  <sheetFormatPr defaultRowHeight="12.75" x14ac:dyDescent="0.2"/>
  <cols>
    <col min="1" max="1" width="31.42578125" style="1" customWidth="1"/>
    <col min="2" max="3" width="10.28515625" style="1" customWidth="1"/>
    <col min="4" max="4" width="12.28515625" style="1" customWidth="1"/>
    <col min="5" max="5" width="11.140625" style="1" customWidth="1"/>
    <col min="6" max="6" width="12" style="1" customWidth="1"/>
    <col min="7" max="7" width="10.28515625" style="1" customWidth="1"/>
    <col min="8" max="8" width="11.28515625" style="1" customWidth="1"/>
    <col min="9" max="9" width="14.85546875" style="1" customWidth="1"/>
    <col min="10" max="10" width="10.28515625" style="1" customWidth="1"/>
    <col min="11" max="11" width="10.42578125" style="1" customWidth="1"/>
    <col min="12" max="12" width="13.7109375" style="35" customWidth="1"/>
    <col min="13" max="13" width="10.85546875" style="35" customWidth="1"/>
    <col min="14" max="14" width="13" style="35" customWidth="1"/>
    <col min="15" max="16" width="10.28515625" style="35" customWidth="1"/>
    <col min="17" max="17" width="12.42578125" style="35" customWidth="1"/>
    <col min="18" max="18" width="15.28515625" style="35" customWidth="1"/>
    <col min="19" max="19" width="15.140625" style="1" customWidth="1"/>
    <col min="20" max="20" width="13.85546875" style="49" customWidth="1"/>
    <col min="21" max="16384" width="9.140625" style="1"/>
  </cols>
  <sheetData>
    <row r="1" spans="1:20" ht="24.75" customHeight="1" x14ac:dyDescent="0.2">
      <c r="A1" s="190" t="s">
        <v>95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</row>
    <row r="2" spans="1:20" s="5" customFormat="1" ht="35.25" customHeight="1" x14ac:dyDescent="0.2">
      <c r="A2" s="197" t="s">
        <v>30</v>
      </c>
      <c r="B2" s="197" t="s">
        <v>36</v>
      </c>
      <c r="C2" s="199" t="s">
        <v>82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1" t="s">
        <v>96</v>
      </c>
      <c r="O2" s="201"/>
      <c r="P2" s="201"/>
      <c r="Q2" s="201"/>
      <c r="R2" s="201"/>
      <c r="S2" s="197" t="s">
        <v>11</v>
      </c>
      <c r="T2" s="50"/>
    </row>
    <row r="3" spans="1:20" s="5" customFormat="1" ht="115.5" x14ac:dyDescent="0.2">
      <c r="A3" s="198"/>
      <c r="B3" s="198"/>
      <c r="C3" s="2" t="s">
        <v>79</v>
      </c>
      <c r="D3" s="2" t="s">
        <v>86</v>
      </c>
      <c r="E3" s="21" t="s">
        <v>78</v>
      </c>
      <c r="F3" s="2" t="s">
        <v>87</v>
      </c>
      <c r="G3" s="2" t="s">
        <v>81</v>
      </c>
      <c r="H3" s="2" t="s">
        <v>18</v>
      </c>
      <c r="I3" s="2" t="s">
        <v>77</v>
      </c>
      <c r="J3" s="2" t="s">
        <v>85</v>
      </c>
      <c r="K3" s="2" t="s">
        <v>88</v>
      </c>
      <c r="L3" s="32" t="s">
        <v>83</v>
      </c>
      <c r="M3" s="36" t="s">
        <v>16</v>
      </c>
      <c r="N3" s="32" t="s">
        <v>76</v>
      </c>
      <c r="O3" s="32" t="s">
        <v>13</v>
      </c>
      <c r="P3" s="32" t="s">
        <v>77</v>
      </c>
      <c r="Q3" s="32" t="s">
        <v>80</v>
      </c>
      <c r="R3" s="2" t="s">
        <v>25</v>
      </c>
      <c r="S3" s="198"/>
      <c r="T3" s="50"/>
    </row>
    <row r="4" spans="1:20" s="5" customFormat="1" ht="10.5" x14ac:dyDescent="0.2">
      <c r="A4" s="2" t="s">
        <v>27</v>
      </c>
      <c r="B4" s="16">
        <v>42005</v>
      </c>
      <c r="C4" s="16"/>
      <c r="D4" s="2"/>
      <c r="E4" s="16"/>
      <c r="F4" s="2"/>
      <c r="G4" s="2"/>
      <c r="H4" s="2"/>
      <c r="I4" s="16"/>
      <c r="J4" s="2"/>
      <c r="K4" s="2"/>
      <c r="L4" s="32"/>
      <c r="M4" s="32"/>
      <c r="N4" s="45"/>
      <c r="O4" s="45"/>
      <c r="P4" s="45"/>
      <c r="Q4" s="32"/>
      <c r="R4" s="32"/>
      <c r="S4" s="32">
        <v>2017</v>
      </c>
      <c r="T4" s="50"/>
    </row>
    <row r="5" spans="1:20" s="5" customFormat="1" ht="10.5" x14ac:dyDescent="0.2">
      <c r="A5" s="2" t="s">
        <v>28</v>
      </c>
      <c r="B5" s="2" t="s">
        <v>34</v>
      </c>
      <c r="C5" s="2"/>
      <c r="D5" s="2"/>
      <c r="E5" s="2" t="s">
        <v>33</v>
      </c>
      <c r="F5" s="2"/>
      <c r="G5" s="2" t="s">
        <v>32</v>
      </c>
      <c r="H5" s="2"/>
      <c r="I5" s="2"/>
      <c r="J5" s="2"/>
      <c r="K5" s="2"/>
      <c r="L5" s="32"/>
      <c r="M5" s="32"/>
      <c r="N5" s="32" t="s">
        <v>33</v>
      </c>
      <c r="O5" s="32" t="s">
        <v>33</v>
      </c>
      <c r="P5" s="32" t="s">
        <v>33</v>
      </c>
      <c r="Q5" s="32" t="s">
        <v>33</v>
      </c>
      <c r="R5" s="32"/>
      <c r="S5" s="32"/>
      <c r="T5" s="50"/>
    </row>
    <row r="6" spans="1:20" s="5" customFormat="1" ht="10.5" x14ac:dyDescent="0.2">
      <c r="A6" s="2" t="s">
        <v>29</v>
      </c>
      <c r="B6" s="2" t="s">
        <v>0</v>
      </c>
      <c r="C6" s="2"/>
      <c r="D6" s="2" t="s">
        <v>7</v>
      </c>
      <c r="E6" s="2"/>
      <c r="F6" s="2" t="s">
        <v>8</v>
      </c>
      <c r="G6" s="2" t="s">
        <v>20</v>
      </c>
      <c r="H6" s="2" t="s">
        <v>19</v>
      </c>
      <c r="I6" s="2" t="s">
        <v>15</v>
      </c>
      <c r="J6" s="2" t="s">
        <v>84</v>
      </c>
      <c r="K6" s="2" t="s">
        <v>24</v>
      </c>
      <c r="L6" s="32" t="s">
        <v>17</v>
      </c>
      <c r="M6" s="32" t="s">
        <v>9</v>
      </c>
      <c r="N6" s="32" t="s">
        <v>12</v>
      </c>
      <c r="O6" s="32" t="s">
        <v>14</v>
      </c>
      <c r="P6" s="32" t="s">
        <v>15</v>
      </c>
      <c r="Q6" s="32" t="s">
        <v>97</v>
      </c>
      <c r="R6" s="32" t="s">
        <v>10</v>
      </c>
      <c r="S6" s="32" t="s">
        <v>5</v>
      </c>
      <c r="T6" s="50"/>
    </row>
    <row r="7" spans="1:20" ht="15" customHeight="1" x14ac:dyDescent="0.2">
      <c r="A7" s="6" t="str">
        <f>'Исходные данные'!A6</f>
        <v>Большекнышинский сельсовет</v>
      </c>
      <c r="B7" s="8">
        <f>'Исходные данные'!B6</f>
        <v>446</v>
      </c>
      <c r="C7" s="8">
        <f>'Исходные данные'!I6</f>
        <v>2</v>
      </c>
      <c r="D7" s="29">
        <v>0.5</v>
      </c>
      <c r="E7" s="8">
        <f>'Исходные данные'!H6</f>
        <v>40</v>
      </c>
      <c r="F7" s="29">
        <v>0.5</v>
      </c>
      <c r="G7" s="7">
        <f>'Исходные данные'!J6</f>
        <v>52428.4</v>
      </c>
      <c r="H7" s="7">
        <f>(G7/B7*B$23/C$23)/(G$23/B$23*B7/C7)</f>
        <v>3.2880557227906491</v>
      </c>
      <c r="I7" s="7">
        <f>'Исходные данные'!M6</f>
        <v>21</v>
      </c>
      <c r="J7" s="7">
        <f>'Исходные данные'!O6</f>
        <v>1</v>
      </c>
      <c r="K7" s="29">
        <v>1</v>
      </c>
      <c r="L7" s="33">
        <f>(G$23/(I$23*10))/(G7/(I7*10))+J7*K7</f>
        <v>2.0275271221355684</v>
      </c>
      <c r="M7" s="34">
        <f>1+D7*H7+F7*L7</f>
        <v>3.6577914224631085</v>
      </c>
      <c r="N7" s="33">
        <f>'Исходные данные'!K6</f>
        <v>21</v>
      </c>
      <c r="O7" s="33">
        <f>'Исходные данные'!L6</f>
        <v>0</v>
      </c>
      <c r="P7" s="33">
        <f>'Исходные данные'!M6</f>
        <v>21</v>
      </c>
      <c r="Q7" s="33">
        <f>'Исходные данные'!N6</f>
        <v>0</v>
      </c>
      <c r="R7" s="43">
        <f>(N7-O7+P7+Q7)/(N$23-O$23+P$23+Q$23)*B$23/B7</f>
        <v>2.3875219914703223</v>
      </c>
      <c r="S7" s="43">
        <f>R7*M7</f>
        <v>8.7330574613421845</v>
      </c>
    </row>
    <row r="8" spans="1:20" ht="15" customHeight="1" x14ac:dyDescent="0.2">
      <c r="A8" s="6" t="str">
        <f>'Исходные данные'!A7</f>
        <v>Большесалбинский сельсовет</v>
      </c>
      <c r="B8" s="8">
        <f>'Исходные данные'!B7</f>
        <v>209</v>
      </c>
      <c r="C8" s="8">
        <f>'Исходные данные'!I7</f>
        <v>3</v>
      </c>
      <c r="D8" s="29">
        <v>0.5</v>
      </c>
      <c r="E8" s="8">
        <f>'Исходные данные'!H7</f>
        <v>33</v>
      </c>
      <c r="F8" s="29">
        <v>0.5</v>
      </c>
      <c r="G8" s="7">
        <f>'Исходные данные'!J7</f>
        <v>24668.7</v>
      </c>
      <c r="H8" s="7">
        <f t="shared" ref="H8:H23" si="0">(G8/B8*B$23/C$23)/(G$23/B$23*B8/C8)</f>
        <v>10.567864410277561</v>
      </c>
      <c r="I8" s="7">
        <f>'Исходные данные'!M7</f>
        <v>8.6</v>
      </c>
      <c r="J8" s="7">
        <f>'Исходные данные'!O7</f>
        <v>1</v>
      </c>
      <c r="K8" s="29">
        <v>1</v>
      </c>
      <c r="L8" s="33">
        <f t="shared" ref="L8:L22" si="1">(G$23/(I$23*10))/(G8/(I8*10))+J8*K8</f>
        <v>1.8943196874378943</v>
      </c>
      <c r="M8" s="34">
        <f t="shared" ref="M8:M22" si="2">1+D8*H8+F8*L8</f>
        <v>7.2310920488577279</v>
      </c>
      <c r="N8" s="33">
        <f>'Исходные данные'!K7</f>
        <v>8.6</v>
      </c>
      <c r="O8" s="33">
        <f>'Исходные данные'!L7</f>
        <v>0</v>
      </c>
      <c r="P8" s="33">
        <f>'Исходные данные'!M7</f>
        <v>8.6</v>
      </c>
      <c r="Q8" s="33">
        <f>'Исходные данные'!N7</f>
        <v>0</v>
      </c>
      <c r="R8" s="43">
        <f t="shared" ref="R8:R22" si="3">(N8-O8+P8+Q8)/(N$23-O$23+P$23+Q$23)*B$23/B8</f>
        <v>2.0864842448128433</v>
      </c>
      <c r="S8" s="43">
        <f t="shared" ref="S8:S21" si="4">R8*M8</f>
        <v>15.087559632733072</v>
      </c>
    </row>
    <row r="9" spans="1:20" ht="17.25" customHeight="1" x14ac:dyDescent="0.2">
      <c r="A9" s="6" t="str">
        <f>'Исходные данные'!A8</f>
        <v>Большетелекский сельсовет</v>
      </c>
      <c r="B9" s="8">
        <f>'Исходные данные'!B8</f>
        <v>436</v>
      </c>
      <c r="C9" s="8">
        <f>'Исходные данные'!I8</f>
        <v>1</v>
      </c>
      <c r="D9" s="29">
        <v>0.5</v>
      </c>
      <c r="E9" s="8">
        <f>'Исходные данные'!H8</f>
        <v>10</v>
      </c>
      <c r="F9" s="29">
        <v>0.5</v>
      </c>
      <c r="G9" s="7">
        <f>'Исходные данные'!J8</f>
        <v>11469.3</v>
      </c>
      <c r="H9" s="7">
        <f t="shared" si="0"/>
        <v>0.37633639516476741</v>
      </c>
      <c r="I9" s="7">
        <f>'Исходные данные'!M8</f>
        <v>6.62</v>
      </c>
      <c r="J9" s="7">
        <f>'Исходные данные'!O8</f>
        <v>1</v>
      </c>
      <c r="K9" s="29">
        <v>1</v>
      </c>
      <c r="L9" s="33">
        <f t="shared" si="1"/>
        <v>2.4806816028650456</v>
      </c>
      <c r="M9" s="34">
        <f t="shared" si="2"/>
        <v>2.4285089990149062</v>
      </c>
      <c r="N9" s="33">
        <f>'Исходные данные'!K8</f>
        <v>6.62</v>
      </c>
      <c r="O9" s="33">
        <f>'Исходные данные'!L8</f>
        <v>0</v>
      </c>
      <c r="P9" s="33">
        <f>'Исходные данные'!M8</f>
        <v>6.62</v>
      </c>
      <c r="Q9" s="33">
        <f>'Исходные данные'!N8</f>
        <v>0</v>
      </c>
      <c r="R9" s="43">
        <f t="shared" si="3"/>
        <v>0.76990022174049333</v>
      </c>
      <c r="S9" s="43">
        <f t="shared" si="4"/>
        <v>1.8697096168403597</v>
      </c>
    </row>
    <row r="10" spans="1:20" ht="16.5" customHeight="1" x14ac:dyDescent="0.2">
      <c r="A10" s="6" t="str">
        <f>'Исходные данные'!A9</f>
        <v>Большехабыкский сельсовет</v>
      </c>
      <c r="B10" s="8">
        <f>'Исходные данные'!B9</f>
        <v>471</v>
      </c>
      <c r="C10" s="8">
        <f>'Исходные данные'!I9</f>
        <v>1</v>
      </c>
      <c r="D10" s="29">
        <v>0.5</v>
      </c>
      <c r="E10" s="8">
        <f>'Исходные данные'!H9</f>
        <v>20</v>
      </c>
      <c r="F10" s="29">
        <v>0.5</v>
      </c>
      <c r="G10" s="7">
        <f>'Исходные данные'!J9</f>
        <v>7466.2</v>
      </c>
      <c r="H10" s="7">
        <f t="shared" si="0"/>
        <v>0.20992786627914831</v>
      </c>
      <c r="I10" s="7">
        <f>'Исходные данные'!M9</f>
        <v>13.41</v>
      </c>
      <c r="J10" s="7">
        <f>'Исходные данные'!O9</f>
        <v>1</v>
      </c>
      <c r="K10" s="29">
        <v>1</v>
      </c>
      <c r="L10" s="33">
        <f t="shared" si="1"/>
        <v>5.6075468736567222</v>
      </c>
      <c r="M10" s="34">
        <f t="shared" si="2"/>
        <v>3.9087373699679353</v>
      </c>
      <c r="N10" s="33">
        <f>'Исходные данные'!K9</f>
        <v>13.41</v>
      </c>
      <c r="O10" s="33">
        <f>'Исходные данные'!L9</f>
        <v>0</v>
      </c>
      <c r="P10" s="33">
        <f>'Исходные данные'!M9</f>
        <v>13.41</v>
      </c>
      <c r="Q10" s="33">
        <f>'Исходные данные'!N9</f>
        <v>0</v>
      </c>
      <c r="R10" s="43">
        <f t="shared" si="3"/>
        <v>1.4436795852699618</v>
      </c>
      <c r="S10" s="43">
        <f t="shared" si="4"/>
        <v>5.6429643452045095</v>
      </c>
    </row>
    <row r="11" spans="1:20" ht="16.5" customHeight="1" x14ac:dyDescent="0.2">
      <c r="A11" s="6" t="str">
        <f>'Исходные данные'!A10</f>
        <v>Добромысловский сельсовет</v>
      </c>
      <c r="B11" s="8">
        <f>'Исходные данные'!B10</f>
        <v>642</v>
      </c>
      <c r="C11" s="8">
        <f>'Исходные данные'!I10</f>
        <v>4</v>
      </c>
      <c r="D11" s="29">
        <v>0.5</v>
      </c>
      <c r="E11" s="8">
        <f>'Исходные данные'!H10</f>
        <v>30</v>
      </c>
      <c r="F11" s="29">
        <v>0.5</v>
      </c>
      <c r="G11" s="7">
        <f>'Исходные данные'!J10</f>
        <v>34290</v>
      </c>
      <c r="H11" s="7">
        <f t="shared" si="0"/>
        <v>2.0757244781192599</v>
      </c>
      <c r="I11" s="7">
        <f>'Исходные данные'!M10</f>
        <v>19.34</v>
      </c>
      <c r="J11" s="7">
        <f>'Исходные данные'!O10</f>
        <v>1</v>
      </c>
      <c r="K11" s="29">
        <v>1</v>
      </c>
      <c r="L11" s="33">
        <f t="shared" si="1"/>
        <v>2.4468702543336729</v>
      </c>
      <c r="M11" s="34">
        <f t="shared" si="2"/>
        <v>3.2612973662264664</v>
      </c>
      <c r="N11" s="33">
        <f>'Исходные данные'!K10</f>
        <v>19.34</v>
      </c>
      <c r="O11" s="33">
        <f>'Исходные данные'!L10</f>
        <v>0.8</v>
      </c>
      <c r="P11" s="33">
        <f>'Исходные данные'!M10</f>
        <v>19.34</v>
      </c>
      <c r="Q11" s="33">
        <f>'Исходные данные'!N10</f>
        <v>0</v>
      </c>
      <c r="R11" s="43">
        <f t="shared" si="3"/>
        <v>1.4959183553795998</v>
      </c>
      <c r="S11" s="43">
        <f t="shared" si="4"/>
        <v>4.8786345924893162</v>
      </c>
    </row>
    <row r="12" spans="1:20" ht="16.5" customHeight="1" x14ac:dyDescent="0.2">
      <c r="A12" s="6" t="str">
        <f>'Исходные данные'!A11</f>
        <v>Екатерининский сельсовет</v>
      </c>
      <c r="B12" s="8">
        <f>'Исходные данные'!B11</f>
        <v>521</v>
      </c>
      <c r="C12" s="8">
        <f>'Исходные данные'!I11</f>
        <v>2</v>
      </c>
      <c r="D12" s="29">
        <v>0.5</v>
      </c>
      <c r="E12" s="8">
        <f>'Исходные данные'!H11</f>
        <v>29</v>
      </c>
      <c r="F12" s="29">
        <v>0.5</v>
      </c>
      <c r="G12" s="7">
        <f>'Исходные данные'!J11</f>
        <v>31367.7</v>
      </c>
      <c r="H12" s="7">
        <f t="shared" si="0"/>
        <v>1.4416157262852838</v>
      </c>
      <c r="I12" s="7">
        <f>'Исходные данные'!M11</f>
        <v>12.7</v>
      </c>
      <c r="J12" s="7">
        <f>'Исходные данные'!O11</f>
        <v>1</v>
      </c>
      <c r="K12" s="29">
        <v>1</v>
      </c>
      <c r="L12" s="33">
        <f t="shared" si="1"/>
        <v>2.0386318800810566</v>
      </c>
      <c r="M12" s="34">
        <f t="shared" si="2"/>
        <v>2.7401238031831703</v>
      </c>
      <c r="N12" s="33">
        <f>'Исходные данные'!K11</f>
        <v>12.7</v>
      </c>
      <c r="O12" s="33">
        <f>'Исходные данные'!L11</f>
        <v>1</v>
      </c>
      <c r="P12" s="33">
        <f>'Исходные данные'!M11</f>
        <v>12.7</v>
      </c>
      <c r="Q12" s="33">
        <f>'Исходные данные'!N11</f>
        <v>0</v>
      </c>
      <c r="R12" s="43">
        <f t="shared" si="3"/>
        <v>1.1873672114055678</v>
      </c>
      <c r="S12" s="43">
        <f t="shared" si="4"/>
        <v>3.2535331590916199</v>
      </c>
    </row>
    <row r="13" spans="1:20" ht="15" customHeight="1" x14ac:dyDescent="0.2">
      <c r="A13" s="6" t="str">
        <f>'Исходные данные'!A12</f>
        <v>Идринский сельсовет</v>
      </c>
      <c r="B13" s="8">
        <f>'Исходные данные'!B12</f>
        <v>5352</v>
      </c>
      <c r="C13" s="8">
        <f>'Исходные данные'!I12</f>
        <v>3</v>
      </c>
      <c r="D13" s="29">
        <v>0.5</v>
      </c>
      <c r="E13" s="8">
        <f>'Исходные данные'!H12</f>
        <v>0</v>
      </c>
      <c r="F13" s="29">
        <v>0.5</v>
      </c>
      <c r="G13" s="7">
        <f>'Исходные данные'!J12</f>
        <v>15176</v>
      </c>
      <c r="H13" s="7">
        <f t="shared" si="0"/>
        <v>9.9142222315479461E-3</v>
      </c>
      <c r="I13" s="7">
        <f>'Исходные данные'!M12</f>
        <v>53.65</v>
      </c>
      <c r="J13" s="7">
        <f>'Исходные данные'!O12</f>
        <v>1</v>
      </c>
      <c r="K13" s="29">
        <v>1</v>
      </c>
      <c r="L13" s="33">
        <f t="shared" si="1"/>
        <v>10.068866566727385</v>
      </c>
      <c r="M13" s="34">
        <f t="shared" si="2"/>
        <v>6.0393903944794669</v>
      </c>
      <c r="N13" s="33">
        <f>'Исходные данные'!K12</f>
        <v>53.65</v>
      </c>
      <c r="O13" s="33">
        <f>'Исходные данные'!L12</f>
        <v>8.5500000000000007</v>
      </c>
      <c r="P13" s="33">
        <f>'Исходные данные'!M12</f>
        <v>53.65</v>
      </c>
      <c r="Q13" s="33">
        <f>'Исходные данные'!N12</f>
        <v>0</v>
      </c>
      <c r="R13" s="43">
        <f t="shared" si="3"/>
        <v>0.46779324733669514</v>
      </c>
      <c r="S13" s="43">
        <f t="shared" si="4"/>
        <v>2.825186044567594</v>
      </c>
    </row>
    <row r="14" spans="1:20" ht="14.25" customHeight="1" x14ac:dyDescent="0.2">
      <c r="A14" s="6" t="str">
        <f>'Исходные данные'!A13</f>
        <v>Курежский сельсовет</v>
      </c>
      <c r="B14" s="8">
        <f>'Исходные данные'!B13</f>
        <v>341</v>
      </c>
      <c r="C14" s="8">
        <f>'Исходные данные'!I13</f>
        <v>1</v>
      </c>
      <c r="D14" s="29">
        <v>0.5</v>
      </c>
      <c r="E14" s="8">
        <f>'Исходные данные'!H13</f>
        <v>23</v>
      </c>
      <c r="F14" s="29">
        <v>0.5</v>
      </c>
      <c r="G14" s="7">
        <f>'Исходные данные'!J13</f>
        <v>9026.7999999999993</v>
      </c>
      <c r="H14" s="7">
        <f t="shared" si="0"/>
        <v>0.48421400754640026</v>
      </c>
      <c r="I14" s="7">
        <f>'Исходные данные'!M13</f>
        <v>9.1999999999999993</v>
      </c>
      <c r="J14" s="7">
        <f>'Исходные данные'!O13</f>
        <v>1</v>
      </c>
      <c r="K14" s="29">
        <v>1</v>
      </c>
      <c r="L14" s="33">
        <f t="shared" si="1"/>
        <v>3.6145359074965464</v>
      </c>
      <c r="M14" s="34">
        <f t="shared" si="2"/>
        <v>3.049374957521473</v>
      </c>
      <c r="N14" s="33">
        <f>'Исходные данные'!K13</f>
        <v>9.1999999999999993</v>
      </c>
      <c r="O14" s="33">
        <f>'Исходные данные'!L13</f>
        <v>2.1</v>
      </c>
      <c r="P14" s="33">
        <f>'Исходные данные'!M13</f>
        <v>9.1999999999999993</v>
      </c>
      <c r="Q14" s="33">
        <f>'Исходные данные'!N13</f>
        <v>0</v>
      </c>
      <c r="R14" s="43">
        <f t="shared" si="3"/>
        <v>1.2118982944833785</v>
      </c>
      <c r="S14" s="43">
        <f t="shared" si="4"/>
        <v>3.6955323102605977</v>
      </c>
    </row>
    <row r="15" spans="1:20" ht="15" customHeight="1" x14ac:dyDescent="0.2">
      <c r="A15" s="6" t="str">
        <f>'Исходные данные'!A14</f>
        <v>Майский сельсовет</v>
      </c>
      <c r="B15" s="8">
        <f>'Исходные данные'!B14</f>
        <v>350</v>
      </c>
      <c r="C15" s="8">
        <f>'Исходные данные'!I14</f>
        <v>2</v>
      </c>
      <c r="D15" s="29">
        <v>0.5</v>
      </c>
      <c r="E15" s="8">
        <f>'Исходные данные'!H14</f>
        <v>12</v>
      </c>
      <c r="F15" s="29">
        <v>0.5</v>
      </c>
      <c r="G15" s="7">
        <f>'Исходные данные'!J14</f>
        <v>7334.5</v>
      </c>
      <c r="H15" s="7">
        <f t="shared" si="0"/>
        <v>0.74692450228456875</v>
      </c>
      <c r="I15" s="7">
        <f>'Исходные данные'!M14</f>
        <v>6.1</v>
      </c>
      <c r="J15" s="7">
        <f>'Исходные данные'!O14</f>
        <v>1</v>
      </c>
      <c r="K15" s="29">
        <v>1</v>
      </c>
      <c r="L15" s="33">
        <f t="shared" si="1"/>
        <v>3.1335357564416815</v>
      </c>
      <c r="M15" s="34">
        <f t="shared" si="2"/>
        <v>2.9402301293631252</v>
      </c>
      <c r="N15" s="33">
        <f>'Исходные данные'!K14</f>
        <v>6.1</v>
      </c>
      <c r="O15" s="33">
        <f>'Исходные данные'!L14</f>
        <v>0</v>
      </c>
      <c r="P15" s="33">
        <f>'Исходные данные'!M14</f>
        <v>6.1</v>
      </c>
      <c r="Q15" s="33">
        <f>'Исходные данные'!N14</f>
        <v>0</v>
      </c>
      <c r="R15" s="43">
        <f t="shared" si="3"/>
        <v>0.88374045306042981</v>
      </c>
      <c r="S15" s="43">
        <f t="shared" si="4"/>
        <v>2.5984003066252943</v>
      </c>
    </row>
    <row r="16" spans="1:20" ht="15" customHeight="1" x14ac:dyDescent="0.2">
      <c r="A16" s="6" t="str">
        <f>'Исходные данные'!A15</f>
        <v>Малохабыкский сельсовет</v>
      </c>
      <c r="B16" s="8">
        <f>'Исходные данные'!B15</f>
        <v>298</v>
      </c>
      <c r="C16" s="8">
        <f>'Исходные данные'!I15</f>
        <v>1</v>
      </c>
      <c r="D16" s="29">
        <v>0.5</v>
      </c>
      <c r="E16" s="8">
        <f>'Исходные данные'!H15</f>
        <v>10</v>
      </c>
      <c r="F16" s="29">
        <v>0.5</v>
      </c>
      <c r="G16" s="7">
        <f>'Исходные данные'!J15</f>
        <v>7123.1</v>
      </c>
      <c r="H16" s="7">
        <f t="shared" si="0"/>
        <v>0.50032107809074389</v>
      </c>
      <c r="I16" s="7">
        <f>'Исходные данные'!M15</f>
        <v>13.32</v>
      </c>
      <c r="J16" s="7">
        <f>'Исходные данные'!O15</f>
        <v>1</v>
      </c>
      <c r="K16" s="29">
        <v>1</v>
      </c>
      <c r="L16" s="33">
        <f t="shared" si="1"/>
        <v>5.7970670311594983</v>
      </c>
      <c r="M16" s="34">
        <f t="shared" si="2"/>
        <v>4.1486940546251212</v>
      </c>
      <c r="N16" s="33">
        <f>'Исходные данные'!K15</f>
        <v>13.32</v>
      </c>
      <c r="O16" s="33">
        <f>'Исходные данные'!L15</f>
        <v>0</v>
      </c>
      <c r="P16" s="33">
        <f>'Исходные данные'!M15</f>
        <v>13.32</v>
      </c>
      <c r="Q16" s="33">
        <f>'Исходные данные'!N15</f>
        <v>0</v>
      </c>
      <c r="R16" s="43">
        <f t="shared" si="3"/>
        <v>2.266474855411885</v>
      </c>
      <c r="S16" s="43">
        <f t="shared" si="4"/>
        <v>9.4029107576046176</v>
      </c>
    </row>
    <row r="17" spans="1:20" ht="15" customHeight="1" x14ac:dyDescent="0.2">
      <c r="A17" s="6" t="str">
        <f>'Исходные данные'!A16</f>
        <v>Никольский сельсовет</v>
      </c>
      <c r="B17" s="8">
        <f>'Исходные данные'!B16</f>
        <v>573</v>
      </c>
      <c r="C17" s="8">
        <f>'Исходные данные'!I16</f>
        <v>3</v>
      </c>
      <c r="D17" s="29">
        <v>0.5</v>
      </c>
      <c r="E17" s="8">
        <f>'Исходные данные'!H16</f>
        <v>23</v>
      </c>
      <c r="F17" s="29">
        <v>0.5</v>
      </c>
      <c r="G17" s="7">
        <f>'Исходные данные'!J16</f>
        <v>20584.5</v>
      </c>
      <c r="H17" s="7">
        <f t="shared" si="0"/>
        <v>1.1731799163080583</v>
      </c>
      <c r="I17" s="7">
        <f>'Исходные данные'!M16</f>
        <v>14.6</v>
      </c>
      <c r="J17" s="7">
        <f>'Исходные данные'!O16</f>
        <v>1</v>
      </c>
      <c r="K17" s="29">
        <v>1</v>
      </c>
      <c r="L17" s="33">
        <f t="shared" si="1"/>
        <v>2.8195045124441007</v>
      </c>
      <c r="M17" s="34">
        <f t="shared" si="2"/>
        <v>2.9963422143760794</v>
      </c>
      <c r="N17" s="33">
        <f>'Исходные данные'!K16</f>
        <v>14.6</v>
      </c>
      <c r="O17" s="33">
        <f>'Исходные данные'!L16</f>
        <v>0</v>
      </c>
      <c r="P17" s="33">
        <f>'Исходные данные'!M16</f>
        <v>14.6</v>
      </c>
      <c r="Q17" s="33">
        <f>'Исходные данные'!N16</f>
        <v>0</v>
      </c>
      <c r="R17" s="43">
        <f t="shared" si="3"/>
        <v>1.2919960275623825</v>
      </c>
      <c r="S17" s="43">
        <f t="shared" si="4"/>
        <v>3.8712622381913673</v>
      </c>
    </row>
    <row r="18" spans="1:20" ht="15" customHeight="1" x14ac:dyDescent="0.2">
      <c r="A18" s="6" t="str">
        <f>'Исходные данные'!A17</f>
        <v>Новоберезовский сельсовет</v>
      </c>
      <c r="B18" s="8">
        <f>'Исходные данные'!B17</f>
        <v>459</v>
      </c>
      <c r="C18" s="8">
        <f>'Исходные данные'!I17</f>
        <v>1</v>
      </c>
      <c r="D18" s="29">
        <v>0.5</v>
      </c>
      <c r="E18" s="8">
        <f>'Исходные данные'!H17</f>
        <v>22</v>
      </c>
      <c r="F18" s="29">
        <v>0.5</v>
      </c>
      <c r="G18" s="7">
        <f>'Исходные данные'!J17</f>
        <v>6244.1</v>
      </c>
      <c r="H18" s="7">
        <f t="shared" si="0"/>
        <v>0.18486588114385913</v>
      </c>
      <c r="I18" s="7">
        <f>'Исходные данные'!M17</f>
        <v>10.3</v>
      </c>
      <c r="J18" s="7">
        <f>'Исходные данные'!O17</f>
        <v>1</v>
      </c>
      <c r="K18" s="29">
        <v>1</v>
      </c>
      <c r="L18" s="33">
        <f t="shared" si="1"/>
        <v>5.2316328373434118</v>
      </c>
      <c r="M18" s="34">
        <f t="shared" si="2"/>
        <v>3.7082493592436352</v>
      </c>
      <c r="N18" s="33">
        <f>'Исходные данные'!K17</f>
        <v>10.3</v>
      </c>
      <c r="O18" s="33">
        <f>'Исходные данные'!L17</f>
        <v>0</v>
      </c>
      <c r="P18" s="33">
        <f>'Исходные данные'!M17</f>
        <v>10.3</v>
      </c>
      <c r="Q18" s="33">
        <f>'Исходные данные'!N17</f>
        <v>0</v>
      </c>
      <c r="R18" s="43">
        <f t="shared" si="3"/>
        <v>1.1378564710464123</v>
      </c>
      <c r="S18" s="43">
        <f t="shared" si="4"/>
        <v>4.2194555296690828</v>
      </c>
    </row>
    <row r="19" spans="1:20" ht="15" customHeight="1" x14ac:dyDescent="0.2">
      <c r="A19" s="6" t="str">
        <f>'Исходные данные'!A18</f>
        <v>Новотроицкий сельсовет</v>
      </c>
      <c r="B19" s="8">
        <f>'Исходные данные'!B18</f>
        <v>231</v>
      </c>
      <c r="C19" s="8">
        <f>'Исходные данные'!I18</f>
        <v>2</v>
      </c>
      <c r="D19" s="29">
        <v>0.5</v>
      </c>
      <c r="E19" s="8">
        <f>'Исходные данные'!H18</f>
        <v>44</v>
      </c>
      <c r="F19" s="29">
        <v>0.5</v>
      </c>
      <c r="G19" s="7">
        <f>'Исходные данные'!J18</f>
        <v>68721.8</v>
      </c>
      <c r="H19" s="7">
        <f t="shared" si="0"/>
        <v>16.066188149349539</v>
      </c>
      <c r="I19" s="7">
        <f>'Исходные данные'!M18</f>
        <v>5</v>
      </c>
      <c r="J19" s="7">
        <f>'Исходные данные'!O18</f>
        <v>1</v>
      </c>
      <c r="K19" s="29">
        <v>1</v>
      </c>
      <c r="L19" s="33">
        <f t="shared" si="1"/>
        <v>1.1866448803109835</v>
      </c>
      <c r="M19" s="34">
        <f t="shared" si="2"/>
        <v>9.626416514830261</v>
      </c>
      <c r="N19" s="33">
        <f>'Исходные данные'!K18</f>
        <v>5</v>
      </c>
      <c r="O19" s="33">
        <f>'Исходные данные'!L18</f>
        <v>0</v>
      </c>
      <c r="P19" s="33">
        <f>'Исходные данные'!M18</f>
        <v>5</v>
      </c>
      <c r="Q19" s="33">
        <f>'Исходные данные'!N18</f>
        <v>0</v>
      </c>
      <c r="R19" s="43">
        <f t="shared" si="3"/>
        <v>1.0975415462747513</v>
      </c>
      <c r="S19" s="43">
        <f t="shared" si="4"/>
        <v>10.565392066771608</v>
      </c>
    </row>
    <row r="20" spans="1:20" ht="15" customHeight="1" x14ac:dyDescent="0.2">
      <c r="A20" s="6" t="str">
        <f>'Исходные данные'!A19</f>
        <v>Отрокский сельсовет</v>
      </c>
      <c r="B20" s="8">
        <f>'Исходные данные'!B19</f>
        <v>623</v>
      </c>
      <c r="C20" s="8">
        <f>'Исходные данные'!I19</f>
        <v>3</v>
      </c>
      <c r="D20" s="29">
        <v>0.5</v>
      </c>
      <c r="E20" s="8">
        <f>'Исходные данные'!H19</f>
        <v>37</v>
      </c>
      <c r="F20" s="29">
        <v>0.5</v>
      </c>
      <c r="G20" s="7">
        <f>'Исходные данные'!J19</f>
        <v>104428</v>
      </c>
      <c r="H20" s="7">
        <f t="shared" si="0"/>
        <v>5.0347093995558811</v>
      </c>
      <c r="I20" s="7">
        <f>'Исходные данные'!M19</f>
        <v>13.43</v>
      </c>
      <c r="J20" s="7">
        <f>'Исходные данные'!O19</f>
        <v>1</v>
      </c>
      <c r="K20" s="29">
        <v>1</v>
      </c>
      <c r="L20" s="33">
        <f t="shared" si="1"/>
        <v>1.3299131722970741</v>
      </c>
      <c r="M20" s="34">
        <f t="shared" si="2"/>
        <v>4.1823112859264775</v>
      </c>
      <c r="N20" s="33">
        <f>'Исходные данные'!K19</f>
        <v>13.43</v>
      </c>
      <c r="O20" s="33">
        <f>'Исходные данные'!L19</f>
        <v>0.7</v>
      </c>
      <c r="P20" s="33">
        <f>'Исходные данные'!M19</f>
        <v>13.43</v>
      </c>
      <c r="Q20" s="33">
        <f>'Исходные данные'!N19</f>
        <v>0</v>
      </c>
      <c r="R20" s="43">
        <f t="shared" si="3"/>
        <v>1.0645906360315365</v>
      </c>
      <c r="S20" s="43">
        <f t="shared" si="4"/>
        <v>4.4524494319663415</v>
      </c>
    </row>
    <row r="21" spans="1:20" ht="15" customHeight="1" x14ac:dyDescent="0.2">
      <c r="A21" s="6" t="str">
        <f>'Исходные данные'!A20</f>
        <v>Романовский сельсовет</v>
      </c>
      <c r="B21" s="8">
        <f>'Исходные данные'!B20</f>
        <v>407</v>
      </c>
      <c r="C21" s="8">
        <f>'Исходные данные'!I20</f>
        <v>5</v>
      </c>
      <c r="D21" s="29">
        <v>0.5</v>
      </c>
      <c r="E21" s="8">
        <f>'Исходные данные'!H20</f>
        <v>61</v>
      </c>
      <c r="F21" s="29">
        <v>0.5</v>
      </c>
      <c r="G21" s="7">
        <f>'Исходные данные'!J20</f>
        <v>194052.9</v>
      </c>
      <c r="H21" s="7">
        <f t="shared" si="0"/>
        <v>36.535378403102179</v>
      </c>
      <c r="I21" s="7">
        <f>'Исходные данные'!M20</f>
        <v>22.69</v>
      </c>
      <c r="J21" s="7">
        <f>'Исходные данные'!O20</f>
        <v>1</v>
      </c>
      <c r="K21" s="29">
        <v>1</v>
      </c>
      <c r="L21" s="33">
        <f t="shared" si="1"/>
        <v>1.299954210177007</v>
      </c>
      <c r="M21" s="34">
        <f t="shared" si="2"/>
        <v>19.917666306639592</v>
      </c>
      <c r="N21" s="33">
        <f>'Исходные данные'!K20</f>
        <v>22.69</v>
      </c>
      <c r="O21" s="33">
        <f>'Исходные данные'!L20</f>
        <v>1.4</v>
      </c>
      <c r="P21" s="33">
        <f>'Исходные данные'!M20</f>
        <v>22.69</v>
      </c>
      <c r="Q21" s="33">
        <f>'Исходные данные'!N20</f>
        <v>0</v>
      </c>
      <c r="R21" s="43">
        <f t="shared" si="3"/>
        <v>2.7396416792119864</v>
      </c>
      <c r="S21" s="43">
        <f t="shared" si="4"/>
        <v>54.5672687663061</v>
      </c>
    </row>
    <row r="22" spans="1:20" ht="15.75" customHeight="1" x14ac:dyDescent="0.2">
      <c r="A22" s="6" t="str">
        <f>'Исходные данные'!A21</f>
        <v>Центральный сельсовет</v>
      </c>
      <c r="B22" s="8">
        <f>'Исходные данные'!B21</f>
        <v>359</v>
      </c>
      <c r="C22" s="8">
        <f>'Исходные данные'!I21</f>
        <v>2</v>
      </c>
      <c r="D22" s="29">
        <v>0.5</v>
      </c>
      <c r="E22" s="8">
        <f>'Исходные данные'!H21</f>
        <v>8</v>
      </c>
      <c r="F22" s="29">
        <v>0.5</v>
      </c>
      <c r="G22" s="7">
        <f>'Исходные данные'!J21</f>
        <v>17112</v>
      </c>
      <c r="H22" s="7">
        <f t="shared" si="0"/>
        <v>1.6563577975963317</v>
      </c>
      <c r="I22" s="7">
        <f>'Исходные данные'!M21</f>
        <v>8.41</v>
      </c>
      <c r="J22" s="7">
        <f>'Исходные данные'!O21</f>
        <v>1</v>
      </c>
      <c r="K22" s="29">
        <v>1</v>
      </c>
      <c r="L22" s="33">
        <f t="shared" si="1"/>
        <v>2.2607698885191958</v>
      </c>
      <c r="M22" s="34">
        <f t="shared" si="2"/>
        <v>2.9585638430577639</v>
      </c>
      <c r="N22" s="33">
        <f>'Исходные данные'!K21</f>
        <v>8.41</v>
      </c>
      <c r="O22" s="33">
        <f>'Исходные данные'!L21</f>
        <v>0</v>
      </c>
      <c r="P22" s="33">
        <f>'Исходные данные'!M21</f>
        <v>8.41</v>
      </c>
      <c r="Q22" s="33">
        <f>'Исходные данные'!N21</f>
        <v>0</v>
      </c>
      <c r="R22" s="43">
        <f t="shared" si="3"/>
        <v>1.1878579038236337</v>
      </c>
      <c r="S22" s="43">
        <f>R22*M22</f>
        <v>3.5143534449429894</v>
      </c>
    </row>
    <row r="23" spans="1:20" s="14" customFormat="1" x14ac:dyDescent="0.2">
      <c r="A23" s="10" t="s">
        <v>31</v>
      </c>
      <c r="B23" s="11">
        <f>SUM(B7:B22)</f>
        <v>11718</v>
      </c>
      <c r="C23" s="11">
        <f>SUM(C7:C22)</f>
        <v>36</v>
      </c>
      <c r="D23" s="41" t="s">
        <v>26</v>
      </c>
      <c r="E23" s="11">
        <f>SUM(E7:E22)</f>
        <v>402</v>
      </c>
      <c r="F23" s="41" t="s">
        <v>26</v>
      </c>
      <c r="G23" s="11">
        <f>SUM(G7:G22)</f>
        <v>611494</v>
      </c>
      <c r="H23" s="11">
        <f t="shared" si="0"/>
        <v>1</v>
      </c>
      <c r="I23" s="11">
        <f>SUM(I7:I22)</f>
        <v>238.36999999999998</v>
      </c>
      <c r="J23" s="39" t="s">
        <v>26</v>
      </c>
      <c r="K23" s="41" t="s">
        <v>26</v>
      </c>
      <c r="L23" s="39" t="s">
        <v>26</v>
      </c>
      <c r="M23" s="39" t="s">
        <v>26</v>
      </c>
      <c r="N23" s="11">
        <f>SUM(N7:N22)</f>
        <v>238.36999999999998</v>
      </c>
      <c r="O23" s="11">
        <f>SUM(O7:O22)</f>
        <v>14.55</v>
      </c>
      <c r="P23" s="11">
        <f>SUM(P7:P22)</f>
        <v>238.36999999999998</v>
      </c>
      <c r="Q23" s="11">
        <f>SUM(Q7:Q22)</f>
        <v>0</v>
      </c>
      <c r="R23" s="39" t="s">
        <v>26</v>
      </c>
      <c r="S23" s="46">
        <f>SUMPRODUCT(S7:S22,B7:B22)/B23</f>
        <v>5.8269758751468022</v>
      </c>
      <c r="T23" s="51"/>
    </row>
    <row r="24" spans="1:20" x14ac:dyDescent="0.2">
      <c r="A24" s="37"/>
      <c r="C24" s="38"/>
      <c r="D24" s="37"/>
      <c r="E24" s="38"/>
    </row>
    <row r="25" spans="1:20" x14ac:dyDescent="0.2">
      <c r="A25" s="37"/>
      <c r="C25" s="38"/>
      <c r="D25" s="37"/>
      <c r="E25" s="38"/>
    </row>
    <row r="26" spans="1:20" x14ac:dyDescent="0.2">
      <c r="A26" s="37"/>
      <c r="C26" s="38"/>
      <c r="D26" s="37"/>
      <c r="E26" s="38"/>
    </row>
  </sheetData>
  <mergeCells count="6">
    <mergeCell ref="A1:S1"/>
    <mergeCell ref="C2:M2"/>
    <mergeCell ref="S2:S3"/>
    <mergeCell ref="A2:A3"/>
    <mergeCell ref="B2:B3"/>
    <mergeCell ref="N2:R2"/>
  </mergeCells>
  <phoneticPr fontId="3" type="noConversion"/>
  <pageMargins left="1.2204724409448819" right="0.27559055118110237" top="0.39370078740157483" bottom="0.19685039370078741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view="pageBreakPreview" zoomScaleNormal="10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F17" sqref="F17"/>
    </sheetView>
  </sheetViews>
  <sheetFormatPr defaultRowHeight="12.75" x14ac:dyDescent="0.2"/>
  <cols>
    <col min="1" max="1" width="16.5703125" style="1" customWidth="1"/>
    <col min="2" max="3" width="10.28515625" style="1" customWidth="1"/>
    <col min="4" max="4" width="12.28515625" style="1" customWidth="1"/>
    <col min="5" max="5" width="11.42578125" style="1" customWidth="1"/>
    <col min="6" max="6" width="12" style="1" customWidth="1"/>
    <col min="7" max="7" width="10.28515625" style="1" customWidth="1"/>
    <col min="8" max="8" width="11.140625" style="1" customWidth="1"/>
    <col min="9" max="9" width="14.85546875" style="1" customWidth="1"/>
    <col min="10" max="10" width="10.28515625" style="1" customWidth="1"/>
    <col min="11" max="11" width="10.42578125" style="1" customWidth="1"/>
    <col min="12" max="12" width="13.7109375" style="35" customWidth="1"/>
    <col min="13" max="13" width="11.42578125" style="35" customWidth="1"/>
    <col min="14" max="14" width="15.140625" style="1" customWidth="1"/>
    <col min="15" max="16384" width="9.140625" style="1"/>
  </cols>
  <sheetData>
    <row r="1" spans="1:14" ht="24.75" customHeight="1" x14ac:dyDescent="0.2">
      <c r="A1" s="190" t="s">
        <v>98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</row>
    <row r="2" spans="1:14" s="5" customFormat="1" ht="35.25" customHeight="1" x14ac:dyDescent="0.2">
      <c r="A2" s="197" t="s">
        <v>30</v>
      </c>
      <c r="B2" s="197" t="s">
        <v>36</v>
      </c>
      <c r="C2" s="199" t="s">
        <v>82</v>
      </c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197" t="s">
        <v>99</v>
      </c>
    </row>
    <row r="3" spans="1:14" s="5" customFormat="1" ht="73.5" x14ac:dyDescent="0.2">
      <c r="A3" s="198"/>
      <c r="B3" s="198"/>
      <c r="C3" s="2" t="s">
        <v>79</v>
      </c>
      <c r="D3" s="2" t="s">
        <v>86</v>
      </c>
      <c r="E3" s="21" t="s">
        <v>78</v>
      </c>
      <c r="F3" s="2" t="s">
        <v>87</v>
      </c>
      <c r="G3" s="2" t="s">
        <v>81</v>
      </c>
      <c r="H3" s="2" t="s">
        <v>18</v>
      </c>
      <c r="I3" s="2" t="s">
        <v>77</v>
      </c>
      <c r="J3" s="2" t="s">
        <v>85</v>
      </c>
      <c r="K3" s="2" t="s">
        <v>88</v>
      </c>
      <c r="L3" s="32" t="s">
        <v>83</v>
      </c>
      <c r="M3" s="36" t="s">
        <v>16</v>
      </c>
      <c r="N3" s="198"/>
    </row>
    <row r="4" spans="1:14" s="5" customFormat="1" ht="10.5" x14ac:dyDescent="0.2">
      <c r="A4" s="2" t="s">
        <v>27</v>
      </c>
      <c r="B4" s="16">
        <v>42005</v>
      </c>
      <c r="C4" s="16"/>
      <c r="D4" s="2"/>
      <c r="E4" s="16"/>
      <c r="F4" s="2"/>
      <c r="G4" s="2"/>
      <c r="H4" s="2"/>
      <c r="I4" s="16"/>
      <c r="J4" s="2"/>
      <c r="K4" s="2"/>
      <c r="L4" s="32"/>
      <c r="M4" s="32"/>
      <c r="N4" s="32">
        <v>2017</v>
      </c>
    </row>
    <row r="5" spans="1:14" s="5" customFormat="1" ht="10.5" x14ac:dyDescent="0.2">
      <c r="A5" s="2" t="s">
        <v>28</v>
      </c>
      <c r="B5" s="2" t="s">
        <v>34</v>
      </c>
      <c r="C5" s="2"/>
      <c r="D5" s="2"/>
      <c r="E5" s="2" t="s">
        <v>33</v>
      </c>
      <c r="F5" s="2"/>
      <c r="G5" s="2" t="s">
        <v>32</v>
      </c>
      <c r="H5" s="2"/>
      <c r="I5" s="2"/>
      <c r="J5" s="2"/>
      <c r="K5" s="2"/>
      <c r="L5" s="32"/>
      <c r="M5" s="32"/>
      <c r="N5" s="32"/>
    </row>
    <row r="6" spans="1:14" s="5" customFormat="1" ht="10.5" x14ac:dyDescent="0.2">
      <c r="A6" s="2" t="s">
        <v>29</v>
      </c>
      <c r="B6" s="2" t="s">
        <v>0</v>
      </c>
      <c r="C6" s="2"/>
      <c r="D6" s="2" t="s">
        <v>7</v>
      </c>
      <c r="E6" s="2"/>
      <c r="F6" s="2" t="s">
        <v>8</v>
      </c>
      <c r="G6" s="2" t="s">
        <v>20</v>
      </c>
      <c r="H6" s="2" t="s">
        <v>19</v>
      </c>
      <c r="I6" s="2" t="s">
        <v>15</v>
      </c>
      <c r="J6" s="2" t="s">
        <v>84</v>
      </c>
      <c r="K6" s="2" t="s">
        <v>24</v>
      </c>
      <c r="L6" s="32" t="s">
        <v>17</v>
      </c>
      <c r="M6" s="32" t="s">
        <v>9</v>
      </c>
      <c r="N6" s="32" t="s">
        <v>6</v>
      </c>
    </row>
    <row r="7" spans="1:14" ht="25.5" x14ac:dyDescent="0.2">
      <c r="A7" s="6" t="str">
        <f>'Исходные данные'!A6</f>
        <v>Большекнышинский сельсовет</v>
      </c>
      <c r="B7" s="8">
        <f>'Исходные данные'!B6</f>
        <v>446</v>
      </c>
      <c r="C7" s="8">
        <f>'Исходные данные'!I6</f>
        <v>2</v>
      </c>
      <c r="D7" s="29">
        <v>0.5</v>
      </c>
      <c r="E7" s="8">
        <f>'Исходные данные'!H6</f>
        <v>40</v>
      </c>
      <c r="F7" s="29">
        <v>0.5</v>
      </c>
      <c r="G7" s="7">
        <f>'Исходные данные'!J6</f>
        <v>52428.4</v>
      </c>
      <c r="H7" s="7">
        <f>(G7/B7*B$23/C$23)/(G$23/B$23*B7/C7)</f>
        <v>3.2880557227906491</v>
      </c>
      <c r="I7" s="7">
        <f>'Исходные данные'!M6</f>
        <v>21</v>
      </c>
      <c r="J7" s="7">
        <f>'Исходные данные'!O6</f>
        <v>1</v>
      </c>
      <c r="K7" s="29">
        <v>1</v>
      </c>
      <c r="L7" s="33">
        <f>(G$23/(I$23*10))/(G7/(I7*10))+J7*K7</f>
        <v>2.0275271221355684</v>
      </c>
      <c r="M7" s="34">
        <f>1+D7*H7+F7*L7</f>
        <v>3.6577914224631085</v>
      </c>
      <c r="N7" s="98">
        <f>M7*ИБР_мсу!R7</f>
        <v>4.5972533225598546</v>
      </c>
    </row>
    <row r="8" spans="1:14" ht="25.5" x14ac:dyDescent="0.2">
      <c r="A8" s="6" t="str">
        <f>'Исходные данные'!A7</f>
        <v>Большесалбинский сельсовет</v>
      </c>
      <c r="B8" s="8">
        <f>'Исходные данные'!B7</f>
        <v>209</v>
      </c>
      <c r="C8" s="8">
        <f>'Исходные данные'!I7</f>
        <v>3</v>
      </c>
      <c r="D8" s="29">
        <v>0.5</v>
      </c>
      <c r="E8" s="8">
        <f>'Исходные данные'!H7</f>
        <v>33</v>
      </c>
      <c r="F8" s="29">
        <v>0.5</v>
      </c>
      <c r="G8" s="7">
        <f>'Исходные данные'!J7</f>
        <v>24668.7</v>
      </c>
      <c r="H8" s="7">
        <f t="shared" ref="H8:H22" si="0">(G8/B8*B$23/C$23)/(G$23/B$23*B8/C8)</f>
        <v>10.567864410277561</v>
      </c>
      <c r="I8" s="7">
        <f>'Исходные данные'!M7</f>
        <v>8.6</v>
      </c>
      <c r="J8" s="7">
        <f>'Исходные данные'!O7</f>
        <v>1</v>
      </c>
      <c r="K8" s="29">
        <v>1</v>
      </c>
      <c r="L8" s="33">
        <f t="shared" ref="L8:L22" si="1">(G$23/(I$23*10))/(G8/(I8*10))+J8*K8</f>
        <v>1.8943196874378943</v>
      </c>
      <c r="M8" s="34">
        <f t="shared" ref="M8:M22" si="2">1+D8*H8+F8*L8</f>
        <v>7.2310920488577279</v>
      </c>
      <c r="N8" s="98">
        <f>M8*ИБР_мсу!R8</f>
        <v>14.4742935820078</v>
      </c>
    </row>
    <row r="9" spans="1:14" ht="25.5" x14ac:dyDescent="0.2">
      <c r="A9" s="6" t="str">
        <f>'Исходные данные'!A8</f>
        <v>Большетелекский сельсовет</v>
      </c>
      <c r="B9" s="8">
        <f>'Исходные данные'!B8</f>
        <v>436</v>
      </c>
      <c r="C9" s="8">
        <f>'Исходные данные'!I8</f>
        <v>1</v>
      </c>
      <c r="D9" s="29">
        <v>0.5</v>
      </c>
      <c r="E9" s="8">
        <f>'Исходные данные'!H8</f>
        <v>10</v>
      </c>
      <c r="F9" s="29">
        <v>0.5</v>
      </c>
      <c r="G9" s="7">
        <f>'Исходные данные'!J8</f>
        <v>11469.3</v>
      </c>
      <c r="H9" s="7">
        <f t="shared" si="0"/>
        <v>0.37633639516476741</v>
      </c>
      <c r="I9" s="7">
        <f>'Исходные данные'!M8</f>
        <v>6.62</v>
      </c>
      <c r="J9" s="7">
        <f>'Исходные данные'!O8</f>
        <v>1</v>
      </c>
      <c r="K9" s="29">
        <v>1</v>
      </c>
      <c r="L9" s="33">
        <f t="shared" si="1"/>
        <v>2.4806816028650456</v>
      </c>
      <c r="M9" s="34">
        <f t="shared" si="2"/>
        <v>2.4285089990149062</v>
      </c>
      <c r="N9" s="98">
        <f>M9*ИБР_мсу!R9</f>
        <v>3.0888295078066883</v>
      </c>
    </row>
    <row r="10" spans="1:14" ht="25.5" x14ac:dyDescent="0.2">
      <c r="A10" s="6" t="str">
        <f>'Исходные данные'!A9</f>
        <v>Большехабыкский сельсовет</v>
      </c>
      <c r="B10" s="8">
        <f>'Исходные данные'!B9</f>
        <v>471</v>
      </c>
      <c r="C10" s="8">
        <f>'Исходные данные'!I9</f>
        <v>1</v>
      </c>
      <c r="D10" s="29">
        <v>0.5</v>
      </c>
      <c r="E10" s="8">
        <f>'Исходные данные'!H9</f>
        <v>20</v>
      </c>
      <c r="F10" s="29">
        <v>0.5</v>
      </c>
      <c r="G10" s="7">
        <f>'Исходные данные'!J9</f>
        <v>7466.2</v>
      </c>
      <c r="H10" s="7">
        <f t="shared" si="0"/>
        <v>0.20992786627914831</v>
      </c>
      <c r="I10" s="7">
        <f>'Исходные данные'!M9</f>
        <v>13.41</v>
      </c>
      <c r="J10" s="7">
        <f>'Исходные данные'!O9</f>
        <v>1</v>
      </c>
      <c r="K10" s="29">
        <v>1</v>
      </c>
      <c r="L10" s="33">
        <f>(G$23/(I$23*10))/(G10/(I10*10))+J10*K10</f>
        <v>5.6075468736567222</v>
      </c>
      <c r="M10" s="34">
        <f t="shared" si="2"/>
        <v>3.9087373699679353</v>
      </c>
      <c r="N10" s="98">
        <f>M10*ИБР_мсу!R10</f>
        <v>4.7763774804353405</v>
      </c>
    </row>
    <row r="11" spans="1:14" ht="25.5" x14ac:dyDescent="0.2">
      <c r="A11" s="6" t="str">
        <f>'Исходные данные'!A10</f>
        <v>Добромысловский сельсовет</v>
      </c>
      <c r="B11" s="8">
        <f>'Исходные данные'!B10</f>
        <v>642</v>
      </c>
      <c r="C11" s="8">
        <f>'Исходные данные'!I10</f>
        <v>4</v>
      </c>
      <c r="D11" s="29">
        <v>0.5</v>
      </c>
      <c r="E11" s="8">
        <f>'Исходные данные'!H10</f>
        <v>30</v>
      </c>
      <c r="F11" s="29">
        <v>0.5</v>
      </c>
      <c r="G11" s="7">
        <f>'Исходные данные'!J10</f>
        <v>34290</v>
      </c>
      <c r="H11" s="7">
        <f t="shared" si="0"/>
        <v>2.0757244781192599</v>
      </c>
      <c r="I11" s="7">
        <f>'Исходные данные'!M10</f>
        <v>19.34</v>
      </c>
      <c r="J11" s="7">
        <f>'Исходные данные'!O10</f>
        <v>1</v>
      </c>
      <c r="K11" s="29">
        <v>1</v>
      </c>
      <c r="L11" s="33">
        <f t="shared" si="1"/>
        <v>2.4468702543336729</v>
      </c>
      <c r="M11" s="34">
        <f t="shared" si="2"/>
        <v>3.2612973662264664</v>
      </c>
      <c r="N11" s="98">
        <f>M11*ИБР_мсу!R11</f>
        <v>3.4449358394181901</v>
      </c>
    </row>
    <row r="12" spans="1:14" ht="25.5" x14ac:dyDescent="0.2">
      <c r="A12" s="6" t="str">
        <f>'Исходные данные'!A11</f>
        <v>Екатерининский сельсовет</v>
      </c>
      <c r="B12" s="8">
        <f>'Исходные данные'!B11</f>
        <v>521</v>
      </c>
      <c r="C12" s="8">
        <f>'Исходные данные'!I11</f>
        <v>2</v>
      </c>
      <c r="D12" s="29">
        <v>0.5</v>
      </c>
      <c r="E12" s="8">
        <f>'Исходные данные'!H11</f>
        <v>29</v>
      </c>
      <c r="F12" s="29">
        <v>0.5</v>
      </c>
      <c r="G12" s="7">
        <f>'Исходные данные'!J11</f>
        <v>31367.7</v>
      </c>
      <c r="H12" s="7">
        <f t="shared" si="0"/>
        <v>1.4416157262852838</v>
      </c>
      <c r="I12" s="7">
        <f>'Исходные данные'!M11</f>
        <v>12.7</v>
      </c>
      <c r="J12" s="7">
        <f>'Исходные данные'!O11</f>
        <v>1</v>
      </c>
      <c r="K12" s="29">
        <v>1</v>
      </c>
      <c r="L12" s="33">
        <f t="shared" si="1"/>
        <v>2.0386318800810566</v>
      </c>
      <c r="M12" s="34">
        <f t="shared" si="2"/>
        <v>2.7401238031831703</v>
      </c>
      <c r="N12" s="98">
        <f>M12*ИБР_мсу!R12</f>
        <v>3.1848022437957173</v>
      </c>
    </row>
    <row r="13" spans="1:14" ht="25.5" x14ac:dyDescent="0.2">
      <c r="A13" s="6" t="str">
        <f>'Исходные данные'!A12</f>
        <v>Идринский сельсовет</v>
      </c>
      <c r="B13" s="8">
        <f>'Исходные данные'!B12</f>
        <v>5352</v>
      </c>
      <c r="C13" s="8">
        <f>'Исходные данные'!I12</f>
        <v>3</v>
      </c>
      <c r="D13" s="29">
        <v>0.5</v>
      </c>
      <c r="E13" s="8">
        <f>'Исходные данные'!H12</f>
        <v>0</v>
      </c>
      <c r="F13" s="29">
        <v>0.5</v>
      </c>
      <c r="G13" s="7">
        <f>'Исходные данные'!J12</f>
        <v>15176</v>
      </c>
      <c r="H13" s="7">
        <f t="shared" si="0"/>
        <v>9.9142222315479461E-3</v>
      </c>
      <c r="I13" s="7">
        <f>'Исходные данные'!M12</f>
        <v>53.65</v>
      </c>
      <c r="J13" s="7">
        <f>'Исходные данные'!O12</f>
        <v>1</v>
      </c>
      <c r="K13" s="29">
        <v>1</v>
      </c>
      <c r="L13" s="33">
        <f t="shared" si="1"/>
        <v>10.068866566727385</v>
      </c>
      <c r="M13" s="34">
        <f t="shared" si="2"/>
        <v>6.0393903944794669</v>
      </c>
      <c r="N13" s="98">
        <f>M13*ИБР_мсу!R13</f>
        <v>3.9542096133810203</v>
      </c>
    </row>
    <row r="14" spans="1:14" ht="25.5" x14ac:dyDescent="0.2">
      <c r="A14" s="6" t="str">
        <f>'Исходные данные'!A13</f>
        <v>Курежский сельсовет</v>
      </c>
      <c r="B14" s="8">
        <f>'Исходные данные'!B13</f>
        <v>341</v>
      </c>
      <c r="C14" s="8">
        <f>'Исходные данные'!I13</f>
        <v>1</v>
      </c>
      <c r="D14" s="29">
        <v>0.5</v>
      </c>
      <c r="E14" s="8">
        <f>'Исходные данные'!H13</f>
        <v>23</v>
      </c>
      <c r="F14" s="29">
        <v>0.5</v>
      </c>
      <c r="G14" s="7">
        <f>'Исходные данные'!J13</f>
        <v>9026.7999999999993</v>
      </c>
      <c r="H14" s="7">
        <f t="shared" si="0"/>
        <v>0.48421400754640026</v>
      </c>
      <c r="I14" s="7">
        <f>'Исходные данные'!M13</f>
        <v>9.1999999999999993</v>
      </c>
      <c r="J14" s="7">
        <f>'Исходные данные'!O13</f>
        <v>1</v>
      </c>
      <c r="K14" s="29">
        <v>1</v>
      </c>
      <c r="L14" s="33">
        <f t="shared" si="1"/>
        <v>3.6145359074965464</v>
      </c>
      <c r="M14" s="34">
        <f t="shared" si="2"/>
        <v>3.049374957521473</v>
      </c>
      <c r="N14" s="98">
        <f>M14*ИБР_мсу!R14</f>
        <v>4.449315278929058</v>
      </c>
    </row>
    <row r="15" spans="1:14" ht="15" customHeight="1" x14ac:dyDescent="0.2">
      <c r="A15" s="6" t="str">
        <f>'Исходные данные'!A14</f>
        <v>Майский сельсовет</v>
      </c>
      <c r="B15" s="8">
        <f>'Исходные данные'!B14</f>
        <v>350</v>
      </c>
      <c r="C15" s="8">
        <f>'Исходные данные'!I14</f>
        <v>2</v>
      </c>
      <c r="D15" s="29">
        <v>0.5</v>
      </c>
      <c r="E15" s="8">
        <f>'Исходные данные'!H14</f>
        <v>12</v>
      </c>
      <c r="F15" s="29">
        <v>0.5</v>
      </c>
      <c r="G15" s="7">
        <f>'Исходные данные'!J14</f>
        <v>7334.5</v>
      </c>
      <c r="H15" s="7">
        <f t="shared" si="0"/>
        <v>0.74692450228456875</v>
      </c>
      <c r="I15" s="7">
        <f>'Исходные данные'!M14</f>
        <v>6.1</v>
      </c>
      <c r="J15" s="7">
        <f>'Исходные данные'!O14</f>
        <v>1</v>
      </c>
      <c r="K15" s="29">
        <v>1</v>
      </c>
      <c r="L15" s="33">
        <f t="shared" si="1"/>
        <v>3.1335357564416815</v>
      </c>
      <c r="M15" s="34">
        <f t="shared" si="2"/>
        <v>2.9402301293631252</v>
      </c>
      <c r="N15" s="98">
        <f>M15*ИБР_мсу!R15</f>
        <v>4.225110695894811</v>
      </c>
    </row>
    <row r="16" spans="1:14" ht="25.5" x14ac:dyDescent="0.2">
      <c r="A16" s="6" t="str">
        <f>'Исходные данные'!A15</f>
        <v>Малохабыкский сельсовет</v>
      </c>
      <c r="B16" s="8">
        <f>'Исходные данные'!B15</f>
        <v>298</v>
      </c>
      <c r="C16" s="8">
        <f>'Исходные данные'!I15</f>
        <v>1</v>
      </c>
      <c r="D16" s="29">
        <v>0.5</v>
      </c>
      <c r="E16" s="8">
        <f>'Исходные данные'!H15</f>
        <v>10</v>
      </c>
      <c r="F16" s="29">
        <v>0.5</v>
      </c>
      <c r="G16" s="7">
        <f>'Исходные данные'!J15</f>
        <v>7123.1</v>
      </c>
      <c r="H16" s="7">
        <f t="shared" si="0"/>
        <v>0.50032107809074389</v>
      </c>
      <c r="I16" s="7">
        <f>'Исходные данные'!M15</f>
        <v>13.32</v>
      </c>
      <c r="J16" s="7">
        <f>'Исходные данные'!O15</f>
        <v>1</v>
      </c>
      <c r="K16" s="29">
        <v>1</v>
      </c>
      <c r="L16" s="33">
        <f t="shared" si="1"/>
        <v>5.7970670311594983</v>
      </c>
      <c r="M16" s="34">
        <f t="shared" si="2"/>
        <v>4.1486940546251212</v>
      </c>
      <c r="N16" s="98">
        <f>M16*ИБР_мсу!R16</f>
        <v>6.5676054371456409</v>
      </c>
    </row>
    <row r="17" spans="1:14" ht="25.5" x14ac:dyDescent="0.2">
      <c r="A17" s="6" t="str">
        <f>'Исходные данные'!A16</f>
        <v>Никольский сельсовет</v>
      </c>
      <c r="B17" s="8">
        <f>'Исходные данные'!B16</f>
        <v>573</v>
      </c>
      <c r="C17" s="8">
        <f>'Исходные данные'!I16</f>
        <v>3</v>
      </c>
      <c r="D17" s="29">
        <v>0.5</v>
      </c>
      <c r="E17" s="8">
        <f>'Исходные данные'!H16</f>
        <v>23</v>
      </c>
      <c r="F17" s="29">
        <v>0.5</v>
      </c>
      <c r="G17" s="7">
        <f>'Исходные данные'!J16</f>
        <v>20584.5</v>
      </c>
      <c r="H17" s="7">
        <f t="shared" si="0"/>
        <v>1.1731799163080583</v>
      </c>
      <c r="I17" s="7">
        <f>'Исходные данные'!M16</f>
        <v>14.6</v>
      </c>
      <c r="J17" s="7">
        <f>'Исходные данные'!O16</f>
        <v>1</v>
      </c>
      <c r="K17" s="29">
        <v>1</v>
      </c>
      <c r="L17" s="33">
        <f t="shared" si="1"/>
        <v>2.8195045124441007</v>
      </c>
      <c r="M17" s="34">
        <f t="shared" si="2"/>
        <v>2.9963422143760794</v>
      </c>
      <c r="N17" s="98">
        <f>M17*ИБР_мсу!R17</f>
        <v>3.3297048952948844</v>
      </c>
    </row>
    <row r="18" spans="1:14" ht="25.5" x14ac:dyDescent="0.2">
      <c r="A18" s="6" t="str">
        <f>'Исходные данные'!A17</f>
        <v>Новоберезовский сельсовет</v>
      </c>
      <c r="B18" s="8">
        <f>'Исходные данные'!B17</f>
        <v>459</v>
      </c>
      <c r="C18" s="8">
        <f>'Исходные данные'!I17</f>
        <v>1</v>
      </c>
      <c r="D18" s="29">
        <v>0.5</v>
      </c>
      <c r="E18" s="8">
        <f>'Исходные данные'!H17</f>
        <v>22</v>
      </c>
      <c r="F18" s="29">
        <v>0.5</v>
      </c>
      <c r="G18" s="7">
        <f>'Исходные данные'!J17</f>
        <v>6244.1</v>
      </c>
      <c r="H18" s="7">
        <f t="shared" si="0"/>
        <v>0.18486588114385913</v>
      </c>
      <c r="I18" s="7">
        <f>'Исходные данные'!M17</f>
        <v>10.3</v>
      </c>
      <c r="J18" s="7">
        <f>'Исходные данные'!O17</f>
        <v>1</v>
      </c>
      <c r="K18" s="29">
        <v>1</v>
      </c>
      <c r="L18" s="33">
        <f t="shared" si="1"/>
        <v>5.2316328373434118</v>
      </c>
      <c r="M18" s="34">
        <f t="shared" si="2"/>
        <v>3.7082493592436352</v>
      </c>
      <c r="N18" s="98">
        <f>M18*ИБР_мсу!R18</f>
        <v>4.5916852360046185</v>
      </c>
    </row>
    <row r="19" spans="1:14" ht="25.5" x14ac:dyDescent="0.2">
      <c r="A19" s="6" t="str">
        <f>'Исходные данные'!A18</f>
        <v>Новотроицкий сельсовет</v>
      </c>
      <c r="B19" s="8">
        <f>'Исходные данные'!B18</f>
        <v>231</v>
      </c>
      <c r="C19" s="8">
        <f>'Исходные данные'!I18</f>
        <v>2</v>
      </c>
      <c r="D19" s="29">
        <v>0.5</v>
      </c>
      <c r="E19" s="8">
        <f>'Исходные данные'!H18</f>
        <v>44</v>
      </c>
      <c r="F19" s="29">
        <v>0.5</v>
      </c>
      <c r="G19" s="7">
        <f>'Исходные данные'!J18</f>
        <v>68721.8</v>
      </c>
      <c r="H19" s="7">
        <f t="shared" si="0"/>
        <v>16.066188149349539</v>
      </c>
      <c r="I19" s="7">
        <f>'Исходные данные'!M18</f>
        <v>5</v>
      </c>
      <c r="J19" s="7">
        <f>'Исходные данные'!O18</f>
        <v>1</v>
      </c>
      <c r="K19" s="29">
        <v>1</v>
      </c>
      <c r="L19" s="33">
        <f t="shared" si="1"/>
        <v>1.1866448803109835</v>
      </c>
      <c r="M19" s="34">
        <f t="shared" si="2"/>
        <v>9.626416514830261</v>
      </c>
      <c r="N19" s="98">
        <f>M19*ИБР_мсу!R19</f>
        <v>17.983896307251076</v>
      </c>
    </row>
    <row r="20" spans="1:14" ht="25.5" x14ac:dyDescent="0.2">
      <c r="A20" s="6" t="str">
        <f>'Исходные данные'!A19</f>
        <v>Отрокский сельсовет</v>
      </c>
      <c r="B20" s="8">
        <f>'Исходные данные'!B19</f>
        <v>623</v>
      </c>
      <c r="C20" s="8">
        <f>'Исходные данные'!I19</f>
        <v>3</v>
      </c>
      <c r="D20" s="29">
        <v>0.5</v>
      </c>
      <c r="E20" s="8">
        <f>'Исходные данные'!H19</f>
        <v>37</v>
      </c>
      <c r="F20" s="29">
        <v>0.5</v>
      </c>
      <c r="G20" s="7">
        <f>'Исходные данные'!J19</f>
        <v>104428</v>
      </c>
      <c r="H20" s="7">
        <f t="shared" si="0"/>
        <v>5.0347093995558811</v>
      </c>
      <c r="I20" s="7">
        <f>'Исходные данные'!M19</f>
        <v>13.43</v>
      </c>
      <c r="J20" s="7">
        <f>'Исходные данные'!O19</f>
        <v>1</v>
      </c>
      <c r="K20" s="29">
        <v>1</v>
      </c>
      <c r="L20" s="33">
        <f t="shared" si="1"/>
        <v>1.3299131722970741</v>
      </c>
      <c r="M20" s="34">
        <f t="shared" si="2"/>
        <v>4.1823112859264775</v>
      </c>
      <c r="N20" s="98">
        <f>M20*ИБР_мсу!R20</f>
        <v>4.4760129211741235</v>
      </c>
    </row>
    <row r="21" spans="1:14" ht="25.5" x14ac:dyDescent="0.2">
      <c r="A21" s="6" t="str">
        <f>'Исходные данные'!A20</f>
        <v>Романовский сельсовет</v>
      </c>
      <c r="B21" s="8">
        <f>'Исходные данные'!B20</f>
        <v>407</v>
      </c>
      <c r="C21" s="8">
        <f>'Исходные данные'!I20</f>
        <v>5</v>
      </c>
      <c r="D21" s="29">
        <v>0.5</v>
      </c>
      <c r="E21" s="8">
        <f>'Исходные данные'!H20</f>
        <v>61</v>
      </c>
      <c r="F21" s="29">
        <v>0.5</v>
      </c>
      <c r="G21" s="7">
        <f>'Исходные данные'!J20</f>
        <v>194052.9</v>
      </c>
      <c r="H21" s="7">
        <f>(G21/B21*B$23/C$23)/(G$23/B$23*B21/C21)</f>
        <v>36.535378403102179</v>
      </c>
      <c r="I21" s="7">
        <f>'Исходные данные'!M20</f>
        <v>22.69</v>
      </c>
      <c r="J21" s="7">
        <f>'Исходные данные'!O20</f>
        <v>1</v>
      </c>
      <c r="K21" s="29">
        <v>1</v>
      </c>
      <c r="L21" s="33">
        <f t="shared" si="1"/>
        <v>1.299954210177007</v>
      </c>
      <c r="M21" s="34">
        <f>1+D21*H21+F21*L21</f>
        <v>19.917666306639592</v>
      </c>
      <c r="N21" s="98">
        <f>M21*ИБР_мсу!R21</f>
        <v>26.286915126809475</v>
      </c>
    </row>
    <row r="22" spans="1:14" ht="25.5" x14ac:dyDescent="0.2">
      <c r="A22" s="6" t="str">
        <f>'Исходные данные'!A21</f>
        <v>Центральный сельсовет</v>
      </c>
      <c r="B22" s="8">
        <f>'Исходные данные'!B21</f>
        <v>359</v>
      </c>
      <c r="C22" s="8">
        <f>'Исходные данные'!I21</f>
        <v>2</v>
      </c>
      <c r="D22" s="29">
        <v>0.5</v>
      </c>
      <c r="E22" s="8">
        <f>'Исходные данные'!H21</f>
        <v>8</v>
      </c>
      <c r="F22" s="29">
        <v>0.5</v>
      </c>
      <c r="G22" s="7">
        <f>'Исходные данные'!J21</f>
        <v>17112</v>
      </c>
      <c r="H22" s="7">
        <f t="shared" si="0"/>
        <v>1.6563577975963317</v>
      </c>
      <c r="I22" s="7">
        <f>'Исходные данные'!M21</f>
        <v>8.41</v>
      </c>
      <c r="J22" s="7">
        <f>'Исходные данные'!O21</f>
        <v>1</v>
      </c>
      <c r="K22" s="29">
        <v>1</v>
      </c>
      <c r="L22" s="33">
        <f t="shared" si="1"/>
        <v>2.2607698885191958</v>
      </c>
      <c r="M22" s="34">
        <f t="shared" si="2"/>
        <v>2.9585638430577639</v>
      </c>
      <c r="N22" s="98">
        <f>M22*ИБР_мсу!R22</f>
        <v>4.1893758485192603</v>
      </c>
    </row>
    <row r="23" spans="1:14" s="14" customFormat="1" x14ac:dyDescent="0.2">
      <c r="A23" s="10" t="s">
        <v>31</v>
      </c>
      <c r="B23" s="11">
        <f>SUM(B7:B22)</f>
        <v>11718</v>
      </c>
      <c r="C23" s="11">
        <f>SUM(C7:C22)</f>
        <v>36</v>
      </c>
      <c r="D23" s="41" t="s">
        <v>26</v>
      </c>
      <c r="E23" s="11">
        <f>SUM(E7:E22)</f>
        <v>402</v>
      </c>
      <c r="F23" s="41" t="s">
        <v>26</v>
      </c>
      <c r="G23" s="11">
        <f>SUM(G7:G22)</f>
        <v>611494</v>
      </c>
      <c r="H23" s="11">
        <f>(G23/B23*B$23/C$23)/(G$23/B$23*B23/C23)</f>
        <v>1</v>
      </c>
      <c r="I23" s="11">
        <f>SUM(I7:I22)</f>
        <v>238.36999999999998</v>
      </c>
      <c r="J23" s="39" t="s">
        <v>26</v>
      </c>
      <c r="K23" s="41" t="s">
        <v>26</v>
      </c>
      <c r="L23" s="39" t="s">
        <v>26</v>
      </c>
      <c r="M23" s="39" t="s">
        <v>26</v>
      </c>
      <c r="N23" s="46">
        <f>SUMPRODUCT(N7:N22,B7:B22)/B23</f>
        <v>5.2756459304747558</v>
      </c>
    </row>
  </sheetData>
  <mergeCells count="5">
    <mergeCell ref="A1:N1"/>
    <mergeCell ref="C2:M2"/>
    <mergeCell ref="N2:N3"/>
    <mergeCell ref="A2:A3"/>
    <mergeCell ref="B2:B3"/>
  </mergeCells>
  <phoneticPr fontId="3" type="noConversion"/>
  <pageMargins left="1.24" right="0.28000000000000003" top="1" bottom="1" header="0.5" footer="0.5"/>
  <pageSetup paperSize="9" scale="77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view="pageBreakPreview" zoomScaleNormal="100" workbookViewId="0">
      <selection activeCell="D13" sqref="D13"/>
    </sheetView>
  </sheetViews>
  <sheetFormatPr defaultRowHeight="12.75" x14ac:dyDescent="0.2"/>
  <cols>
    <col min="1" max="1" width="31.42578125" style="1" customWidth="1"/>
    <col min="2" max="2" width="11.140625" style="1" customWidth="1"/>
    <col min="3" max="3" width="14.7109375" style="1" customWidth="1"/>
    <col min="4" max="4" width="12.28515625" style="1" customWidth="1"/>
    <col min="5" max="5" width="12.7109375" style="1" customWidth="1"/>
    <col min="6" max="6" width="15.140625" style="1" customWidth="1"/>
    <col min="7" max="16384" width="9.140625" style="1"/>
  </cols>
  <sheetData>
    <row r="1" spans="1:6" ht="24.75" customHeight="1" x14ac:dyDescent="0.2">
      <c r="A1" s="190" t="s">
        <v>124</v>
      </c>
      <c r="B1" s="190"/>
      <c r="C1" s="190"/>
      <c r="D1" s="190"/>
      <c r="E1" s="190"/>
      <c r="F1" s="190"/>
    </row>
    <row r="2" spans="1:6" s="5" customFormat="1" ht="35.25" customHeight="1" x14ac:dyDescent="0.2">
      <c r="A2" s="197" t="s">
        <v>30</v>
      </c>
      <c r="B2" s="197" t="s">
        <v>36</v>
      </c>
      <c r="C2" s="199" t="s">
        <v>132</v>
      </c>
      <c r="D2" s="200"/>
      <c r="E2" s="208"/>
      <c r="F2" s="197" t="s">
        <v>121</v>
      </c>
    </row>
    <row r="3" spans="1:6" s="5" customFormat="1" ht="52.5" x14ac:dyDescent="0.2">
      <c r="A3" s="198"/>
      <c r="B3" s="198"/>
      <c r="C3" s="72" t="s">
        <v>119</v>
      </c>
      <c r="D3" s="66" t="s">
        <v>120</v>
      </c>
      <c r="E3" s="66" t="s">
        <v>125</v>
      </c>
      <c r="F3" s="198"/>
    </row>
    <row r="4" spans="1:6" s="5" customFormat="1" ht="10.5" x14ac:dyDescent="0.2">
      <c r="A4" s="2" t="s">
        <v>27</v>
      </c>
      <c r="B4" s="16">
        <v>42005</v>
      </c>
      <c r="C4" s="61"/>
      <c r="D4" s="62"/>
      <c r="E4" s="62"/>
      <c r="F4" s="62" t="s">
        <v>174</v>
      </c>
    </row>
    <row r="5" spans="1:6" s="5" customFormat="1" ht="10.5" x14ac:dyDescent="0.2">
      <c r="A5" s="2" t="s">
        <v>28</v>
      </c>
      <c r="B5" s="2" t="s">
        <v>34</v>
      </c>
      <c r="C5" s="2" t="s">
        <v>134</v>
      </c>
      <c r="D5" s="2" t="s">
        <v>134</v>
      </c>
      <c r="E5" s="32"/>
      <c r="F5" s="32"/>
    </row>
    <row r="6" spans="1:6" s="5" customFormat="1" ht="10.5" x14ac:dyDescent="0.2">
      <c r="A6" s="2" t="s">
        <v>29</v>
      </c>
      <c r="B6" s="2" t="s">
        <v>0</v>
      </c>
      <c r="C6" s="2"/>
      <c r="D6" s="32"/>
      <c r="E6" s="32"/>
      <c r="F6" s="32" t="s">
        <v>122</v>
      </c>
    </row>
    <row r="7" spans="1:6" ht="15" customHeight="1" x14ac:dyDescent="0.2">
      <c r="A7" s="6" t="str">
        <f>'Исходные данные'!A6</f>
        <v>Большекнышинский сельсовет</v>
      </c>
      <c r="B7" s="8">
        <f>'Исходные данные'!B6</f>
        <v>446</v>
      </c>
      <c r="C7" s="122">
        <v>48.115000000000002</v>
      </c>
      <c r="D7" s="123">
        <f>'прогноз расходов'!D5</f>
        <v>995.57</v>
      </c>
      <c r="E7" s="67">
        <f>(1+C7/D7)/(1+C$23/D$23)</f>
        <v>0.90081358782235732</v>
      </c>
      <c r="F7" s="63">
        <f>E7</f>
        <v>0.90081358782235732</v>
      </c>
    </row>
    <row r="8" spans="1:6" ht="15" customHeight="1" x14ac:dyDescent="0.2">
      <c r="A8" s="6" t="str">
        <f>'Исходные данные'!A7</f>
        <v>Большесалбинский сельсовет</v>
      </c>
      <c r="B8" s="8">
        <f>'Исходные данные'!B7</f>
        <v>209</v>
      </c>
      <c r="C8" s="122">
        <v>384.91699999999997</v>
      </c>
      <c r="D8" s="123">
        <f>'прогноз расходов'!D6</f>
        <v>1409.433</v>
      </c>
      <c r="E8" s="67">
        <f t="shared" ref="E8:E21" si="0">(1+C8/D8)/(1+C$23/D$23)</f>
        <v>1.0939563947447408</v>
      </c>
      <c r="F8" s="63">
        <f t="shared" ref="F8:F21" si="1">E8</f>
        <v>1.0939563947447408</v>
      </c>
    </row>
    <row r="9" spans="1:6" ht="17.25" customHeight="1" x14ac:dyDescent="0.2">
      <c r="A9" s="6" t="str">
        <f>'Исходные данные'!A8</f>
        <v>Большетелекский сельсовет</v>
      </c>
      <c r="B9" s="8">
        <f>'Исходные данные'!B8</f>
        <v>436</v>
      </c>
      <c r="C9" s="122">
        <v>26.126999999999999</v>
      </c>
      <c r="D9" s="123">
        <f>'прогноз расходов'!D7</f>
        <v>1514.7239999999999</v>
      </c>
      <c r="E9" s="67">
        <f t="shared" si="0"/>
        <v>0.87410665331801229</v>
      </c>
      <c r="F9" s="63">
        <f t="shared" si="1"/>
        <v>0.87410665331801229</v>
      </c>
    </row>
    <row r="10" spans="1:6" ht="16.5" customHeight="1" x14ac:dyDescent="0.2">
      <c r="A10" s="6" t="str">
        <f>'Исходные данные'!A9</f>
        <v>Большехабыкский сельсовет</v>
      </c>
      <c r="B10" s="8">
        <f>'Исходные данные'!B9</f>
        <v>471</v>
      </c>
      <c r="C10" s="122">
        <v>532.1</v>
      </c>
      <c r="D10" s="123">
        <f>'прогноз расходов'!D8</f>
        <v>1782.4010000000001</v>
      </c>
      <c r="E10" s="67">
        <f t="shared" si="0"/>
        <v>1.1158074161532789</v>
      </c>
      <c r="F10" s="63">
        <f t="shared" si="1"/>
        <v>1.1158074161532789</v>
      </c>
    </row>
    <row r="11" spans="1:6" ht="16.5" customHeight="1" x14ac:dyDescent="0.2">
      <c r="A11" s="6" t="str">
        <f>'Исходные данные'!A10</f>
        <v>Добромысловский сельсовет</v>
      </c>
      <c r="B11" s="8">
        <f>'Исходные данные'!B10</f>
        <v>642</v>
      </c>
      <c r="C11" s="122">
        <v>66.076999999999998</v>
      </c>
      <c r="D11" s="123">
        <f>'прогноз расходов'!D9</f>
        <v>3539.4749999999999</v>
      </c>
      <c r="E11" s="67">
        <f t="shared" si="0"/>
        <v>0.87532675308070917</v>
      </c>
      <c r="F11" s="63">
        <f t="shared" si="1"/>
        <v>0.87532675308070917</v>
      </c>
    </row>
    <row r="12" spans="1:6" ht="16.5" customHeight="1" x14ac:dyDescent="0.2">
      <c r="A12" s="6" t="str">
        <f>'Исходные данные'!A11</f>
        <v>Екатерининский сельсовет</v>
      </c>
      <c r="B12" s="8">
        <f>'Исходные данные'!B11</f>
        <v>521</v>
      </c>
      <c r="C12" s="122">
        <v>633.18899999999996</v>
      </c>
      <c r="D12" s="123">
        <f>'прогноз расходов'!D10</f>
        <v>2623.41</v>
      </c>
      <c r="E12" s="67">
        <f t="shared" si="0"/>
        <v>1.0666830732396186</v>
      </c>
      <c r="F12" s="63">
        <f t="shared" si="1"/>
        <v>1.0666830732396186</v>
      </c>
    </row>
    <row r="13" spans="1:6" ht="15" customHeight="1" x14ac:dyDescent="0.2">
      <c r="A13" s="6" t="str">
        <f>'Исходные данные'!A12</f>
        <v>Идринский сельсовет</v>
      </c>
      <c r="B13" s="8">
        <f>'Исходные данные'!B12</f>
        <v>5352</v>
      </c>
      <c r="C13" s="122">
        <v>34.866999999999997</v>
      </c>
      <c r="D13" s="123">
        <f>'прогноз расходов'!D11</f>
        <v>1020.367</v>
      </c>
      <c r="E13" s="67">
        <f t="shared" si="0"/>
        <v>0.88864777810680651</v>
      </c>
      <c r="F13" s="63">
        <f t="shared" si="1"/>
        <v>0.88864777810680651</v>
      </c>
    </row>
    <row r="14" spans="1:6" ht="14.25" customHeight="1" x14ac:dyDescent="0.2">
      <c r="A14" s="6" t="str">
        <f>'Исходные данные'!A13</f>
        <v>Курежский сельсовет</v>
      </c>
      <c r="B14" s="8">
        <f>'Исходные данные'!B13</f>
        <v>341</v>
      </c>
      <c r="C14" s="122">
        <v>7.7</v>
      </c>
      <c r="D14" s="123">
        <f>'прогноз расходов'!D12</f>
        <v>1271.2940000000001</v>
      </c>
      <c r="E14" s="67">
        <f t="shared" si="0"/>
        <v>0.86448964943474005</v>
      </c>
      <c r="F14" s="63">
        <f t="shared" si="1"/>
        <v>0.86448964943474005</v>
      </c>
    </row>
    <row r="15" spans="1:6" ht="14.25" customHeight="1" x14ac:dyDescent="0.2">
      <c r="A15" s="6" t="str">
        <f>'Исходные данные'!A14</f>
        <v>Майский сельсовет</v>
      </c>
      <c r="B15" s="8">
        <f>'Исходные данные'!B14</f>
        <v>350</v>
      </c>
      <c r="C15" s="122">
        <v>674.97699999999998</v>
      </c>
      <c r="D15" s="123">
        <f>'прогноз расходов'!D13</f>
        <v>1883.4069999999999</v>
      </c>
      <c r="E15" s="67">
        <f t="shared" si="0"/>
        <v>1.1672364420870802</v>
      </c>
      <c r="F15" s="63">
        <f t="shared" si="1"/>
        <v>1.1672364420870802</v>
      </c>
    </row>
    <row r="16" spans="1:6" ht="14.25" customHeight="1" x14ac:dyDescent="0.2">
      <c r="A16" s="6" t="str">
        <f>'Исходные данные'!A15</f>
        <v>Малохабыкский сельсовет</v>
      </c>
      <c r="B16" s="8">
        <f>'Исходные данные'!B15</f>
        <v>298</v>
      </c>
      <c r="C16" s="122">
        <v>606.52</v>
      </c>
      <c r="D16" s="123">
        <f>'прогноз расходов'!D14</f>
        <v>1877.11</v>
      </c>
      <c r="E16" s="67">
        <f t="shared" si="0"/>
        <v>1.1369319253060599</v>
      </c>
      <c r="F16" s="63">
        <f t="shared" si="1"/>
        <v>1.1369319253060599</v>
      </c>
    </row>
    <row r="17" spans="1:6" ht="14.25" customHeight="1" x14ac:dyDescent="0.2">
      <c r="A17" s="6" t="str">
        <f>'Исходные данные'!A16</f>
        <v>Никольский сельсовет</v>
      </c>
      <c r="B17" s="8">
        <f>'Исходные данные'!B16</f>
        <v>573</v>
      </c>
      <c r="C17" s="122">
        <v>1307.95</v>
      </c>
      <c r="D17" s="123">
        <f>'прогноз расходов'!D15</f>
        <v>3673.78</v>
      </c>
      <c r="E17" s="67">
        <f t="shared" si="0"/>
        <v>1.1652103360065382</v>
      </c>
      <c r="F17" s="63">
        <f t="shared" si="1"/>
        <v>1.1652103360065382</v>
      </c>
    </row>
    <row r="18" spans="1:6" ht="14.25" customHeight="1" x14ac:dyDescent="0.2">
      <c r="A18" s="6" t="str">
        <f>'Исходные данные'!A17</f>
        <v>Новоберезовский сельсовет</v>
      </c>
      <c r="B18" s="8">
        <f>'Исходные данные'!B17</f>
        <v>459</v>
      </c>
      <c r="C18" s="122">
        <v>123.815</v>
      </c>
      <c r="D18" s="123">
        <f>'прогноз расходов'!D16</f>
        <v>1720.377</v>
      </c>
      <c r="E18" s="67">
        <f t="shared" si="0"/>
        <v>0.9211275969968834</v>
      </c>
      <c r="F18" s="63">
        <f t="shared" si="1"/>
        <v>0.9211275969968834</v>
      </c>
    </row>
    <row r="19" spans="1:6" ht="14.25" customHeight="1" x14ac:dyDescent="0.2">
      <c r="A19" s="6" t="str">
        <f>'Исходные данные'!A18</f>
        <v>Новотроицкий сельсовет</v>
      </c>
      <c r="B19" s="8">
        <f>'Исходные данные'!B18</f>
        <v>231</v>
      </c>
      <c r="C19" s="122">
        <v>354.173</v>
      </c>
      <c r="D19" s="123">
        <f>'прогноз расходов'!D17</f>
        <v>1649.3440000000001</v>
      </c>
      <c r="E19" s="67">
        <f t="shared" si="0"/>
        <v>1.043804283787195</v>
      </c>
      <c r="F19" s="63">
        <f t="shared" si="1"/>
        <v>1.043804283787195</v>
      </c>
    </row>
    <row r="20" spans="1:6" ht="15" customHeight="1" x14ac:dyDescent="0.2">
      <c r="A20" s="6" t="str">
        <f>'Исходные данные'!A19</f>
        <v>Отрокский сельсовет</v>
      </c>
      <c r="B20" s="8">
        <f>'Исходные данные'!B19</f>
        <v>623</v>
      </c>
      <c r="C20" s="122">
        <v>54.53</v>
      </c>
      <c r="D20" s="123">
        <f>'прогноз расходов'!D18</f>
        <v>2230.89</v>
      </c>
      <c r="E20" s="67">
        <f t="shared" si="0"/>
        <v>0.88028875649398119</v>
      </c>
      <c r="F20" s="63">
        <f t="shared" si="1"/>
        <v>0.88028875649398119</v>
      </c>
    </row>
    <row r="21" spans="1:6" ht="15" customHeight="1" x14ac:dyDescent="0.2">
      <c r="A21" s="6" t="str">
        <f>'Исходные данные'!A20</f>
        <v>Романовский сельсовет</v>
      </c>
      <c r="B21" s="8">
        <f>'Исходные данные'!B20</f>
        <v>407</v>
      </c>
      <c r="C21" s="122">
        <v>31.434999999999999</v>
      </c>
      <c r="D21" s="123">
        <f>'прогноз расходов'!D19</f>
        <v>1555.5840000000001</v>
      </c>
      <c r="E21" s="67">
        <f t="shared" si="0"/>
        <v>0.87664941363379312</v>
      </c>
      <c r="F21" s="63">
        <f t="shared" si="1"/>
        <v>0.87664941363379312</v>
      </c>
    </row>
    <row r="22" spans="1:6" ht="15.75" customHeight="1" x14ac:dyDescent="0.2">
      <c r="A22" s="6" t="str">
        <f>'Исходные данные'!A21</f>
        <v>Центральный сельсовет</v>
      </c>
      <c r="B22" s="8">
        <f>'Исходные данные'!B21</f>
        <v>359</v>
      </c>
      <c r="C22" s="122">
        <v>53.404000000000003</v>
      </c>
      <c r="D22" s="123">
        <f>'прогноз расходов'!D20</f>
        <v>1418.6479999999999</v>
      </c>
      <c r="E22" s="67">
        <f>(1+C22/D22)/(1+C$23/D$23)</f>
        <v>0.89163229343741945</v>
      </c>
      <c r="F22" s="63">
        <f>E22</f>
        <v>0.89163229343741945</v>
      </c>
    </row>
    <row r="23" spans="1:6" s="14" customFormat="1" x14ac:dyDescent="0.2">
      <c r="A23" s="10" t="s">
        <v>31</v>
      </c>
      <c r="B23" s="11">
        <f>SUM(B7:B22)</f>
        <v>11718</v>
      </c>
      <c r="C23" s="144">
        <f>SUM(C7:C22)</f>
        <v>4939.8959999999997</v>
      </c>
      <c r="D23" s="145">
        <f>SUM(D7:D22)</f>
        <v>30165.813999999998</v>
      </c>
      <c r="E23" s="68">
        <f>SUMPRODUCT(E7:E22,B7:B22)/B23</f>
        <v>0.93956508138030215</v>
      </c>
      <c r="F23" s="64">
        <f>E23</f>
        <v>0.93956508138030215</v>
      </c>
    </row>
  </sheetData>
  <mergeCells count="5">
    <mergeCell ref="A1:F1"/>
    <mergeCell ref="F2:F3"/>
    <mergeCell ref="A2:A3"/>
    <mergeCell ref="B2:B3"/>
    <mergeCell ref="C2:E2"/>
  </mergeCells>
  <phoneticPr fontId="3" type="noConversion"/>
  <pageMargins left="1.24" right="0.28000000000000003" top="1" bottom="1" header="0.5" footer="0.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view="pageBreakPreview" topLeftCell="A3" zoomScaleNormal="100" zoomScaleSheetLayoutView="100" workbookViewId="0">
      <pane xSplit="5" ySplit="10" topLeftCell="L13" activePane="bottomRight" state="frozen"/>
      <selection activeCell="A3" sqref="A3"/>
      <selection pane="topRight" activeCell="F3" sqref="F3"/>
      <selection pane="bottomLeft" activeCell="A13" sqref="A13"/>
      <selection pane="bottomRight" activeCell="R13" sqref="R13"/>
    </sheetView>
  </sheetViews>
  <sheetFormatPr defaultRowHeight="12.75" x14ac:dyDescent="0.2"/>
  <cols>
    <col min="1" max="1" width="19.42578125" style="1" customWidth="1"/>
    <col min="2" max="2" width="10.28515625" style="1" customWidth="1"/>
    <col min="3" max="3" width="12.85546875" style="1" customWidth="1"/>
    <col min="4" max="5" width="11.7109375" style="1" customWidth="1"/>
    <col min="6" max="6" width="10.5703125" style="1" customWidth="1"/>
    <col min="7" max="7" width="11" style="1" customWidth="1"/>
    <col min="8" max="9" width="10.85546875" style="1" customWidth="1"/>
    <col min="10" max="10" width="9.42578125" style="1" customWidth="1"/>
    <col min="11" max="11" width="10.28515625" style="1" customWidth="1"/>
    <col min="12" max="12" width="9.7109375" style="1" bestFit="1" customWidth="1"/>
    <col min="13" max="13" width="10.28515625" style="1" customWidth="1"/>
    <col min="14" max="14" width="9.42578125" style="54" customWidth="1"/>
    <col min="15" max="15" width="10.28515625" style="1" customWidth="1"/>
    <col min="16" max="16" width="11.140625" style="1" customWidth="1"/>
    <col min="17" max="17" width="10.28515625" style="1" customWidth="1"/>
    <col min="18" max="18" width="9.85546875" style="1" bestFit="1" customWidth="1"/>
    <col min="19" max="19" width="12.7109375" style="15" customWidth="1"/>
    <col min="20" max="20" width="12.42578125" style="84" customWidth="1"/>
    <col min="21" max="21" width="11.28515625" style="84" customWidth="1"/>
    <col min="22" max="22" width="12.140625" style="84" customWidth="1"/>
    <col min="23" max="23" width="13.140625" style="84" customWidth="1"/>
    <col min="24" max="24" width="17.28515625" style="1" customWidth="1"/>
    <col min="25" max="25" width="12" style="1" bestFit="1" customWidth="1"/>
    <col min="26" max="16384" width="9.140625" style="1"/>
  </cols>
  <sheetData>
    <row r="1" spans="1:25" ht="24.75" customHeight="1" x14ac:dyDescent="0.2">
      <c r="B1" s="85" t="s">
        <v>100</v>
      </c>
      <c r="C1" s="85"/>
      <c r="D1" s="85"/>
      <c r="E1" s="85"/>
      <c r="F1" s="85"/>
      <c r="G1" s="85"/>
      <c r="H1" s="85"/>
      <c r="I1" s="85"/>
      <c r="K1" s="85"/>
      <c r="L1" s="85"/>
      <c r="M1" s="85"/>
      <c r="N1" s="85"/>
      <c r="O1" s="85"/>
      <c r="P1" s="85"/>
      <c r="Q1" s="85"/>
      <c r="R1" s="85"/>
      <c r="S1" s="13"/>
      <c r="U1" s="85"/>
      <c r="V1" s="85"/>
      <c r="W1" s="76"/>
    </row>
    <row r="2" spans="1:25" s="5" customFormat="1" ht="35.25" customHeight="1" x14ac:dyDescent="0.2">
      <c r="A2" s="197" t="s">
        <v>30</v>
      </c>
      <c r="B2" s="197" t="s">
        <v>36</v>
      </c>
      <c r="C2" s="197" t="s">
        <v>3</v>
      </c>
      <c r="D2" s="197" t="s">
        <v>11</v>
      </c>
      <c r="E2" s="197" t="s">
        <v>99</v>
      </c>
      <c r="F2" s="197" t="s">
        <v>123</v>
      </c>
      <c r="G2" s="199" t="s">
        <v>101</v>
      </c>
      <c r="H2" s="200"/>
      <c r="I2" s="200"/>
      <c r="J2" s="208"/>
      <c r="K2" s="197" t="s">
        <v>105</v>
      </c>
      <c r="L2" s="197" t="s">
        <v>106</v>
      </c>
      <c r="M2" s="197" t="s">
        <v>109</v>
      </c>
      <c r="N2" s="209" t="s">
        <v>110</v>
      </c>
      <c r="O2" s="197" t="s">
        <v>112</v>
      </c>
      <c r="P2" s="197" t="s">
        <v>114</v>
      </c>
      <c r="Q2" s="197" t="s">
        <v>116</v>
      </c>
      <c r="R2" s="197" t="s">
        <v>113</v>
      </c>
      <c r="S2" s="197" t="s">
        <v>176</v>
      </c>
      <c r="T2" s="201" t="s">
        <v>127</v>
      </c>
      <c r="U2" s="201"/>
      <c r="V2" s="201"/>
      <c r="W2" s="4"/>
      <c r="X2" s="104"/>
    </row>
    <row r="3" spans="1:25" s="104" customFormat="1" ht="94.5" customHeight="1" x14ac:dyDescent="0.2">
      <c r="A3" s="198"/>
      <c r="B3" s="198"/>
      <c r="C3" s="198"/>
      <c r="D3" s="198"/>
      <c r="E3" s="198"/>
      <c r="F3" s="198"/>
      <c r="G3" s="21" t="s">
        <v>123</v>
      </c>
      <c r="H3" s="2" t="s">
        <v>102</v>
      </c>
      <c r="I3" s="2" t="s">
        <v>103</v>
      </c>
      <c r="J3" s="2" t="s">
        <v>104</v>
      </c>
      <c r="K3" s="198"/>
      <c r="L3" s="198"/>
      <c r="M3" s="198"/>
      <c r="N3" s="210"/>
      <c r="O3" s="198"/>
      <c r="P3" s="198"/>
      <c r="Q3" s="198"/>
      <c r="R3" s="198"/>
      <c r="S3" s="198"/>
      <c r="T3" s="2" t="s">
        <v>177</v>
      </c>
      <c r="U3" s="2" t="s">
        <v>128</v>
      </c>
      <c r="V3" s="72" t="s">
        <v>126</v>
      </c>
      <c r="W3" s="4"/>
      <c r="X3" s="104" t="s">
        <v>139</v>
      </c>
    </row>
    <row r="4" spans="1:25" s="93" customFormat="1" ht="13.5" customHeight="1" x14ac:dyDescent="0.2">
      <c r="A4" s="61" t="s">
        <v>27</v>
      </c>
      <c r="B4" s="61" t="s">
        <v>175</v>
      </c>
      <c r="C4" s="62" t="s">
        <v>174</v>
      </c>
      <c r="D4" s="62" t="s">
        <v>174</v>
      </c>
      <c r="E4" s="62" t="s">
        <v>174</v>
      </c>
      <c r="F4" s="62" t="s">
        <v>174</v>
      </c>
      <c r="G4" s="62" t="s">
        <v>174</v>
      </c>
      <c r="H4" s="62" t="s">
        <v>174</v>
      </c>
      <c r="I4" s="62" t="s">
        <v>174</v>
      </c>
      <c r="J4" s="62" t="s">
        <v>174</v>
      </c>
      <c r="K4" s="62" t="s">
        <v>174</v>
      </c>
      <c r="L4" s="62" t="s">
        <v>174</v>
      </c>
      <c r="M4" s="62" t="s">
        <v>174</v>
      </c>
      <c r="N4" s="62" t="s">
        <v>174</v>
      </c>
      <c r="O4" s="62" t="s">
        <v>174</v>
      </c>
      <c r="P4" s="62" t="s">
        <v>174</v>
      </c>
      <c r="Q4" s="62" t="s">
        <v>174</v>
      </c>
      <c r="R4" s="62" t="s">
        <v>174</v>
      </c>
      <c r="S4" s="62" t="s">
        <v>174</v>
      </c>
      <c r="T4" s="62" t="s">
        <v>174</v>
      </c>
      <c r="U4" s="62" t="s">
        <v>174</v>
      </c>
      <c r="V4" s="62" t="s">
        <v>174</v>
      </c>
      <c r="W4" s="106"/>
    </row>
    <row r="5" spans="1:25" s="5" customFormat="1" ht="12.75" customHeight="1" x14ac:dyDescent="0.2">
      <c r="A5" s="2" t="s">
        <v>28</v>
      </c>
      <c r="B5" s="2" t="s">
        <v>34</v>
      </c>
      <c r="C5" s="32"/>
      <c r="D5" s="32"/>
      <c r="E5" s="32"/>
      <c r="F5" s="32"/>
      <c r="G5" s="32"/>
      <c r="H5" s="32"/>
      <c r="I5" s="32"/>
      <c r="J5" s="32"/>
      <c r="K5" s="2"/>
      <c r="L5" s="2"/>
      <c r="M5" s="2"/>
      <c r="N5" s="52"/>
      <c r="O5" s="2"/>
      <c r="P5" s="87">
        <v>1.38</v>
      </c>
      <c r="Q5" s="2"/>
      <c r="R5" s="2"/>
      <c r="S5" s="2"/>
      <c r="T5" s="82"/>
      <c r="U5" s="82"/>
      <c r="V5" s="82"/>
      <c r="W5" s="107"/>
    </row>
    <row r="6" spans="1:25" s="5" customFormat="1" ht="20.25" customHeight="1" x14ac:dyDescent="0.2">
      <c r="A6" s="2" t="s">
        <v>29</v>
      </c>
      <c r="B6" s="2" t="s">
        <v>0</v>
      </c>
      <c r="C6" s="32" t="s">
        <v>4</v>
      </c>
      <c r="D6" s="32" t="s">
        <v>5</v>
      </c>
      <c r="E6" s="32" t="s">
        <v>6</v>
      </c>
      <c r="F6" s="32" t="s">
        <v>122</v>
      </c>
      <c r="G6" s="32" t="s">
        <v>122</v>
      </c>
      <c r="H6" s="32" t="s">
        <v>4</v>
      </c>
      <c r="I6" s="32" t="s">
        <v>5</v>
      </c>
      <c r="J6" s="32" t="s">
        <v>6</v>
      </c>
      <c r="K6" s="2" t="s">
        <v>108</v>
      </c>
      <c r="L6" s="2" t="s">
        <v>107</v>
      </c>
      <c r="M6" s="2" t="s">
        <v>115</v>
      </c>
      <c r="N6" s="52" t="s">
        <v>111</v>
      </c>
      <c r="O6" s="2" t="s">
        <v>2</v>
      </c>
      <c r="P6" s="2"/>
      <c r="Q6" s="2" t="s">
        <v>1</v>
      </c>
      <c r="R6" s="2"/>
      <c r="S6" s="105"/>
      <c r="T6" s="82"/>
      <c r="U6" s="82"/>
      <c r="V6" s="82"/>
      <c r="W6" s="107"/>
    </row>
    <row r="7" spans="1:25" ht="25.5" x14ac:dyDescent="0.2">
      <c r="A7" s="6" t="str">
        <f>'Исходные данные'!A6</f>
        <v>Большекнышинский сельсовет</v>
      </c>
      <c r="B7" s="8">
        <f>'Исходные данные'!B6</f>
        <v>446</v>
      </c>
      <c r="C7" s="8">
        <f>ИБР_мсу!V7</f>
        <v>1.2089291635902248</v>
      </c>
      <c r="D7" s="8">
        <f>ИБР_бу!S7</f>
        <v>8.7330574613421845</v>
      </c>
      <c r="E7" s="8">
        <f>ИБР_прочие!N7</f>
        <v>4.5972533225598546</v>
      </c>
      <c r="F7" s="8">
        <f>ИБР_культура!F7</f>
        <v>0.90081358782235732</v>
      </c>
      <c r="G7" s="56">
        <f>F7/F$23</f>
        <v>0.95875592406966048</v>
      </c>
      <c r="H7" s="8">
        <f t="shared" ref="H7:H22" si="0">C7/C$23</f>
        <v>1.2170256984580878</v>
      </c>
      <c r="I7" s="8">
        <f t="shared" ref="I7:I22" si="1">D7/D$23</f>
        <v>1.4987289545148783</v>
      </c>
      <c r="J7" s="8">
        <f t="shared" ref="J7:J22" si="2">E7/E$23</f>
        <v>0.87141051221876586</v>
      </c>
      <c r="K7" s="8">
        <f>G7*'прогноз расходов'!C$27+'ИБР_общий, БО, дотации'!H7*'прогноз расходов'!C$25+'ИБР_общий, БО, дотации'!I7*'прогноз расходов'!C$26+'ИБР_общий, БО, дотации'!J7*'прогноз расходов'!C$28</f>
        <v>1.0818483035918702</v>
      </c>
      <c r="L7" s="8">
        <f>ИНП!L7</f>
        <v>0.88452883304698038</v>
      </c>
      <c r="M7" s="94">
        <f>'прогноз доходов'!G21/'ИБР_общий, БО, дотации'!B23</f>
        <v>2.0045517153097805</v>
      </c>
      <c r="N7" s="34">
        <f>M7*L7/K7</f>
        <v>1.6389393814626554</v>
      </c>
      <c r="O7" s="8">
        <f>B7*K7</f>
        <v>482.5043434019741</v>
      </c>
      <c r="P7" s="115">
        <f>IF((M7*P$5-N7)&lt;0,0,(M7*P$5-N7)*O7)</f>
        <v>543.94740458269212</v>
      </c>
      <c r="Q7" s="56">
        <f>P7/P$23</f>
        <v>6.0940014542577539E-2</v>
      </c>
      <c r="R7" s="115">
        <f>P7</f>
        <v>543.94740458269212</v>
      </c>
      <c r="S7" s="130">
        <v>337.21899999999999</v>
      </c>
      <c r="T7" s="124">
        <v>326.64805000000001</v>
      </c>
      <c r="U7" s="8">
        <f>B7/((T7/B7)/(T$23/B$23))</f>
        <v>700.52717787390043</v>
      </c>
      <c r="V7" s="56">
        <f>U7/U$23*V$23</f>
        <v>617.15455284272889</v>
      </c>
      <c r="W7" s="108">
        <f>R7+S7+V7-'прогноз расходов'!F5</f>
        <v>-2060.0910425745792</v>
      </c>
      <c r="X7" s="102">
        <f>-'2017,2018,2019'!M5</f>
        <v>-2060091.0000000005</v>
      </c>
      <c r="Y7" s="139"/>
    </row>
    <row r="8" spans="1:25" ht="25.5" x14ac:dyDescent="0.2">
      <c r="A8" s="6" t="str">
        <f>'Исходные данные'!A7</f>
        <v>Большесалбинский сельсовет</v>
      </c>
      <c r="B8" s="8">
        <f>'Исходные данные'!B7</f>
        <v>209</v>
      </c>
      <c r="C8" s="8">
        <f>ИБР_мсу!V8</f>
        <v>2.1617866535080945</v>
      </c>
      <c r="D8" s="8">
        <f>ИБР_бу!S8</f>
        <v>15.087559632733072</v>
      </c>
      <c r="E8" s="8">
        <f>ИБР_прочие!N8</f>
        <v>14.4742935820078</v>
      </c>
      <c r="F8" s="8">
        <f>ИБР_культура!F8</f>
        <v>1.0939563947447408</v>
      </c>
      <c r="G8" s="56">
        <f t="shared" ref="G8:G22" si="3">F8/F$23</f>
        <v>1.1643221064980667</v>
      </c>
      <c r="H8" s="8">
        <f t="shared" si="0"/>
        <v>2.1762647400198216</v>
      </c>
      <c r="I8" s="8">
        <f t="shared" si="1"/>
        <v>2.5892606998914274</v>
      </c>
      <c r="J8" s="8">
        <f t="shared" si="2"/>
        <v>2.7436059532344803</v>
      </c>
      <c r="K8" s="8">
        <f>G8*'прогноз расходов'!C$27+'ИБР_общий, БО, дотации'!H8*'прогноз расходов'!C$25+'ИБР_общий, БО, дотации'!I8*'прогноз расходов'!C$26+'ИБР_общий, БО, дотации'!J8*'прогноз расходов'!C$28</f>
        <v>1.8676373133877715</v>
      </c>
      <c r="L8" s="8">
        <f>ИНП!L8</f>
        <v>1.0093913191048751</v>
      </c>
      <c r="M8" s="94">
        <f>M7</f>
        <v>2.0045517153097805</v>
      </c>
      <c r="N8" s="34">
        <f t="shared" ref="N8:N22" si="4">M8*L8/K8</f>
        <v>1.083388667396137</v>
      </c>
      <c r="O8" s="8">
        <f t="shared" ref="O8:O22" si="5">B8*K8</f>
        <v>390.33619849804427</v>
      </c>
      <c r="P8" s="115">
        <f>IF((M8*P$5-N8)&lt;0,0,(M8*P$5-N8)*O8)</f>
        <v>656.89393889324981</v>
      </c>
      <c r="Q8" s="56">
        <f t="shared" ref="Q8:Q22" si="6">P8/P$23</f>
        <v>7.3593744269810302E-2</v>
      </c>
      <c r="R8" s="115">
        <f t="shared" ref="R8:R22" si="7">P8</f>
        <v>656.89393889324981</v>
      </c>
      <c r="S8" s="130">
        <v>150.31800000000001</v>
      </c>
      <c r="T8" s="124">
        <v>126.82629</v>
      </c>
      <c r="U8" s="8">
        <f>B8/((T8/B8)/(T$23/B$23))</f>
        <v>396.2037897306862</v>
      </c>
      <c r="V8" s="56">
        <f>U8/U$23*V$23</f>
        <v>349.04994468301879</v>
      </c>
      <c r="W8" s="108">
        <f>R8+S8+V8-'прогноз расходов'!F6</f>
        <v>-3784.1001164237314</v>
      </c>
      <c r="X8" s="102">
        <f>-'2017,2018,2019'!M6</f>
        <v>-3784100</v>
      </c>
    </row>
    <row r="9" spans="1:25" ht="25.5" x14ac:dyDescent="0.2">
      <c r="A9" s="6" t="str">
        <f>'Исходные данные'!A8</f>
        <v>Большетелекский сельсовет</v>
      </c>
      <c r="B9" s="8">
        <f>'Исходные данные'!B8</f>
        <v>436</v>
      </c>
      <c r="C9" s="8">
        <f>ИБР_мсу!V9</f>
        <v>1.27906262688787</v>
      </c>
      <c r="D9" s="8">
        <f>ИБР_бу!S9</f>
        <v>1.8697096168403597</v>
      </c>
      <c r="E9" s="8">
        <f>ИБР_прочие!N9</f>
        <v>3.0888295078066883</v>
      </c>
      <c r="F9" s="8">
        <f>ИБР_культура!F9</f>
        <v>0.87410665331801229</v>
      </c>
      <c r="G9" s="56">
        <f t="shared" si="3"/>
        <v>0.93033114005671036</v>
      </c>
      <c r="H9" s="8">
        <f t="shared" si="0"/>
        <v>1.287628865066808</v>
      </c>
      <c r="I9" s="8">
        <f t="shared" si="1"/>
        <v>0.32087135023418217</v>
      </c>
      <c r="J9" s="8">
        <f t="shared" si="2"/>
        <v>0.58548840246538769</v>
      </c>
      <c r="K9" s="8">
        <f>G9*'прогноз расходов'!C$27+'ИБР_общий, БО, дотации'!H9*'прогноз расходов'!C$25+'ИБР_общий, БО, дотации'!I9*'прогноз расходов'!C$26+'ИБР_общий, БО, дотации'!J9*'прогноз расходов'!C$28</f>
        <v>1.0185617666995872</v>
      </c>
      <c r="L9" s="8">
        <f>ИНП!L9</f>
        <v>0.95447836902466121</v>
      </c>
      <c r="M9" s="94">
        <f>M8</f>
        <v>2.0045517153097805</v>
      </c>
      <c r="N9" s="34">
        <f t="shared" si="4"/>
        <v>1.878434194574252</v>
      </c>
      <c r="O9" s="8">
        <f t="shared" si="5"/>
        <v>444.09293028102002</v>
      </c>
      <c r="P9" s="115">
        <f t="shared" ref="P9:P22" si="8">IF((M9*P$5-N9)&lt;0,0,(M9*P$5-N9)*O9)</f>
        <v>394.28665250088903</v>
      </c>
      <c r="Q9" s="56">
        <f t="shared" si="6"/>
        <v>4.4173083895458917E-2</v>
      </c>
      <c r="R9" s="115">
        <f t="shared" si="7"/>
        <v>394.28665250088903</v>
      </c>
      <c r="S9" s="130">
        <v>792.63</v>
      </c>
      <c r="T9" s="124">
        <v>584.18776000000003</v>
      </c>
      <c r="U9" s="8">
        <f>B9/((T9/B9)/(T$23/B$23))</f>
        <v>374.33106226168087</v>
      </c>
      <c r="V9" s="56">
        <f t="shared" ref="V9:V21" si="9">U9/U$23*V$23</f>
        <v>329.78038060764078</v>
      </c>
      <c r="W9" s="108">
        <f>R9+S9+V9-'прогноз расходов'!F7</f>
        <v>-1682.3979668914699</v>
      </c>
      <c r="X9" s="102">
        <f>-'2017,2018,2019'!M7</f>
        <v>-1682398</v>
      </c>
    </row>
    <row r="10" spans="1:25" ht="25.5" x14ac:dyDescent="0.2">
      <c r="A10" s="6" t="str">
        <f>'Исходные данные'!A9</f>
        <v>Большехабыкский сельсовет</v>
      </c>
      <c r="B10" s="8">
        <f>'Исходные данные'!B9</f>
        <v>471</v>
      </c>
      <c r="C10" s="8">
        <f>ИБР_мсу!V10</f>
        <v>1.2870745053597807</v>
      </c>
      <c r="D10" s="8">
        <f>ИБР_бу!S10</f>
        <v>5.6429643452045095</v>
      </c>
      <c r="E10" s="8">
        <f>ИБР_прочие!N10</f>
        <v>4.7763774804353405</v>
      </c>
      <c r="F10" s="8">
        <f>ИБР_культура!F10</f>
        <v>1.1158074161532789</v>
      </c>
      <c r="G10" s="56">
        <f t="shared" si="3"/>
        <v>1.1875786342698704</v>
      </c>
      <c r="H10" s="8">
        <f t="shared" si="0"/>
        <v>1.2956944013173202</v>
      </c>
      <c r="I10" s="8">
        <f t="shared" si="1"/>
        <v>0.96842074965040825</v>
      </c>
      <c r="J10" s="8">
        <f t="shared" si="2"/>
        <v>0.905363540954219</v>
      </c>
      <c r="K10" s="8">
        <f>G10*'прогноз расходов'!C$27+'ИБР_общий, БО, дотации'!H10*'прогноз расходов'!C$25+'ИБР_общий, БО, дотации'!I10*'прогноз расходов'!C$26+'ИБР_общий, БО, дотации'!J10*'прогноз расходов'!C$28</f>
        <v>1.1899518872001942</v>
      </c>
      <c r="L10" s="8">
        <f>ИНП!L10</f>
        <v>0.96031966315963257</v>
      </c>
      <c r="M10" s="94">
        <f>M9</f>
        <v>2.0045517153097805</v>
      </c>
      <c r="N10" s="34">
        <f t="shared" si="4"/>
        <v>1.6177212278402764</v>
      </c>
      <c r="O10" s="8">
        <f t="shared" si="5"/>
        <v>560.46733887129142</v>
      </c>
      <c r="P10" s="115">
        <f t="shared" si="8"/>
        <v>643.73044479994837</v>
      </c>
      <c r="Q10" s="56">
        <f t="shared" si="6"/>
        <v>7.2118999625900571E-2</v>
      </c>
      <c r="R10" s="115">
        <f t="shared" si="7"/>
        <v>643.73044479994837</v>
      </c>
      <c r="S10" s="130">
        <v>452.221</v>
      </c>
      <c r="T10" s="124">
        <v>437.15591999999998</v>
      </c>
      <c r="U10" s="8">
        <f t="shared" ref="U10:U21" si="10">B10/((T10/B10)/(T$23/B$23))</f>
        <v>583.76868125304361</v>
      </c>
      <c r="V10" s="56">
        <f t="shared" si="9"/>
        <v>514.29196585312729</v>
      </c>
      <c r="W10" s="108">
        <f>R10+S10+V10-'прогноз расходов'!F8</f>
        <v>-2191.6495893469246</v>
      </c>
      <c r="X10" s="102">
        <f>-'2017,2018,2019'!M8</f>
        <v>-2191650.0000000005</v>
      </c>
    </row>
    <row r="11" spans="1:25" ht="25.5" x14ac:dyDescent="0.2">
      <c r="A11" s="6" t="str">
        <f>'Исходные данные'!A10</f>
        <v>Добромысловский сельсовет</v>
      </c>
      <c r="B11" s="8">
        <f>'Исходные данные'!B10</f>
        <v>642</v>
      </c>
      <c r="C11" s="8">
        <f>ИБР_мсу!V11</f>
        <v>1.1046116233502836</v>
      </c>
      <c r="D11" s="8">
        <f>ИБР_бу!S11</f>
        <v>4.8786345924893162</v>
      </c>
      <c r="E11" s="8">
        <f>ИБР_прочие!N11</f>
        <v>3.4449358394181901</v>
      </c>
      <c r="F11" s="8">
        <f>ИБР_культура!F11</f>
        <v>0.87532675308070917</v>
      </c>
      <c r="G11" s="56">
        <f t="shared" si="3"/>
        <v>0.93162971935353178</v>
      </c>
      <c r="H11" s="8">
        <f t="shared" si="0"/>
        <v>1.112009514635611</v>
      </c>
      <c r="I11" s="8">
        <f t="shared" si="1"/>
        <v>0.83724983542452136</v>
      </c>
      <c r="J11" s="8">
        <f t="shared" si="2"/>
        <v>0.65298844630920483</v>
      </c>
      <c r="K11" s="8">
        <f>G11*'прогноз расходов'!C$27+'ИБР_общий, БО, дотации'!H11*'прогноз расходов'!C$25+'ИБР_общий, БО, дотации'!I11*'прогноз расходов'!C$26+'ИБР_общий, БО, дотации'!J11*'прогноз расходов'!C$28</f>
        <v>0.97103041164711035</v>
      </c>
      <c r="L11" s="8">
        <f>ИНП!L11</f>
        <v>1.0157980929929593</v>
      </c>
      <c r="M11" s="94">
        <f t="shared" ref="M11:M20" si="11">M10</f>
        <v>2.0045517153097805</v>
      </c>
      <c r="N11" s="34">
        <f t="shared" si="4"/>
        <v>2.0969681127324353</v>
      </c>
      <c r="O11" s="8">
        <f t="shared" si="5"/>
        <v>623.40152427744488</v>
      </c>
      <c r="P11" s="115">
        <f t="shared" si="8"/>
        <v>417.2509030089787</v>
      </c>
      <c r="Q11" s="56">
        <f t="shared" si="6"/>
        <v>4.6745835871352628E-2</v>
      </c>
      <c r="R11" s="115">
        <f t="shared" si="7"/>
        <v>417.2509030089787</v>
      </c>
      <c r="S11" s="130">
        <v>555.64300000000003</v>
      </c>
      <c r="T11" s="124">
        <v>507.60041000000001</v>
      </c>
      <c r="U11" s="8">
        <f t="shared" si="10"/>
        <v>934.07862366588404</v>
      </c>
      <c r="V11" s="56">
        <f t="shared" si="9"/>
        <v>822.9100790322783</v>
      </c>
      <c r="W11" s="108">
        <f>R11+S11+V11-'прогноз расходов'!F9</f>
        <v>-4219.2120179587428</v>
      </c>
      <c r="X11" s="102">
        <f>-'2017,2018,2019'!M9</f>
        <v>-4219212</v>
      </c>
    </row>
    <row r="12" spans="1:25" ht="25.5" x14ac:dyDescent="0.2">
      <c r="A12" s="6" t="str">
        <f>'Исходные данные'!A11</f>
        <v>Екатерининский сельсовет</v>
      </c>
      <c r="B12" s="8">
        <f>'Исходные данные'!B11</f>
        <v>521</v>
      </c>
      <c r="C12" s="8">
        <f>ИБР_мсу!V12</f>
        <v>1.1265963342567673</v>
      </c>
      <c r="D12" s="8">
        <f>ИБР_бу!S12</f>
        <v>3.2535331590916199</v>
      </c>
      <c r="E12" s="8">
        <f>ИБР_прочие!N12</f>
        <v>3.1848022437957173</v>
      </c>
      <c r="F12" s="8">
        <f>ИБР_культура!F12</f>
        <v>1.0666830732396186</v>
      </c>
      <c r="G12" s="56">
        <f t="shared" si="3"/>
        <v>1.1352945042110008</v>
      </c>
      <c r="H12" s="8">
        <f t="shared" si="0"/>
        <v>1.1341414632660038</v>
      </c>
      <c r="I12" s="8">
        <f t="shared" si="1"/>
        <v>0.55835706699397514</v>
      </c>
      <c r="J12" s="8">
        <f t="shared" si="2"/>
        <v>0.60368005847373396</v>
      </c>
      <c r="K12" s="8">
        <f>G12*'прогноз расходов'!C$27+'ИБР_общий, БО, дотации'!H12*'прогноз расходов'!C$25+'ИБР_общий, БО, дотации'!I12*'прогноз расходов'!C$26+'ИБР_общий, БО, дотации'!J12*'прогноз расходов'!C$28</f>
        <v>1.0435536313820335</v>
      </c>
      <c r="L12" s="8">
        <f>ИНП!L12</f>
        <v>1.0275929944313253</v>
      </c>
      <c r="M12" s="94">
        <f t="shared" si="11"/>
        <v>2.0045517153097805</v>
      </c>
      <c r="N12" s="34">
        <f t="shared" si="4"/>
        <v>1.9738930876984644</v>
      </c>
      <c r="O12" s="8">
        <f t="shared" si="5"/>
        <v>543.69144195003946</v>
      </c>
      <c r="P12" s="115">
        <f t="shared" si="8"/>
        <v>430.81472622708156</v>
      </c>
      <c r="Q12" s="56">
        <f t="shared" si="6"/>
        <v>4.8265430554956787E-2</v>
      </c>
      <c r="R12" s="115">
        <f t="shared" si="7"/>
        <v>430.81472622708156</v>
      </c>
      <c r="S12" s="146">
        <v>432.13299999999998</v>
      </c>
      <c r="T12" s="124">
        <v>388.17977000000002</v>
      </c>
      <c r="U12" s="8">
        <f t="shared" si="10"/>
        <v>804.41079425714327</v>
      </c>
      <c r="V12" s="56">
        <f t="shared" si="9"/>
        <v>708.67455212564948</v>
      </c>
      <c r="W12" s="108">
        <f>R12+S12+V12-'прогноз расходов'!F10</f>
        <v>-2850.8217216472685</v>
      </c>
      <c r="X12" s="102">
        <f>-'2017,2018,2019'!M10</f>
        <v>-2850820.9999999991</v>
      </c>
    </row>
    <row r="13" spans="1:25" ht="16.5" customHeight="1" x14ac:dyDescent="0.2">
      <c r="A13" s="6" t="str">
        <f>'Исходные данные'!A12</f>
        <v>Идринский сельсовет</v>
      </c>
      <c r="B13" s="8">
        <f>'Исходные данные'!B12</f>
        <v>5352</v>
      </c>
      <c r="C13" s="8">
        <f>ИБР_мсу!V13</f>
        <v>0.63559799680460993</v>
      </c>
      <c r="D13" s="8">
        <f>ИБР_бу!S13</f>
        <v>2.825186044567594</v>
      </c>
      <c r="E13" s="8">
        <f>ИБР_прочие!N13</f>
        <v>3.9542096133810203</v>
      </c>
      <c r="F13" s="8">
        <f>ИБР_культура!F13</f>
        <v>0.88864777810680651</v>
      </c>
      <c r="G13" s="56">
        <f t="shared" si="3"/>
        <v>0.94580758237769569</v>
      </c>
      <c r="H13" s="8">
        <f t="shared" si="0"/>
        <v>0.63985477337850749</v>
      </c>
      <c r="I13" s="8">
        <f t="shared" si="1"/>
        <v>0.48484601705964975</v>
      </c>
      <c r="J13" s="8">
        <f t="shared" si="2"/>
        <v>0.74952141699645503</v>
      </c>
      <c r="K13" s="8">
        <f>G13*'прогноз расходов'!C$27+'ИБР_общий, БО, дотации'!H13*'прогноз расходов'!C$25+'ИБР_общий, БО, дотации'!I13*'прогноз расходов'!C$26+'ИБР_общий, БО, дотации'!J13*'прогноз расходов'!C$28</f>
        <v>0.76828930813709118</v>
      </c>
      <c r="L13" s="8">
        <f>ИНП!L13</f>
        <v>1.0407059614367888</v>
      </c>
      <c r="M13" s="94">
        <f t="shared" si="11"/>
        <v>2.0045517153097805</v>
      </c>
      <c r="N13" s="34">
        <f t="shared" si="4"/>
        <v>2.7153168709188695</v>
      </c>
      <c r="O13" s="8">
        <f>B13*K13</f>
        <v>4111.8843771497122</v>
      </c>
      <c r="P13" s="115">
        <f t="shared" si="8"/>
        <v>209.56011574956128</v>
      </c>
      <c r="Q13" s="56">
        <f t="shared" si="6"/>
        <v>2.3477631097660805E-2</v>
      </c>
      <c r="R13" s="115">
        <f t="shared" si="7"/>
        <v>209.56011574956128</v>
      </c>
      <c r="S13" s="130">
        <v>9553.2639999999992</v>
      </c>
      <c r="T13" s="124">
        <v>8055.2685799999999</v>
      </c>
      <c r="U13" s="8">
        <f t="shared" si="10"/>
        <v>4090.6048192783956</v>
      </c>
      <c r="V13" s="56">
        <f t="shared" si="9"/>
        <v>3603.7650898285392</v>
      </c>
      <c r="W13" s="108">
        <f>R13+S13+V13-'прогноз расходов'!F11</f>
        <v>2.0557810057653114E-4</v>
      </c>
      <c r="X13" s="102">
        <f>-'2017,2018,2019'!M11</f>
        <v>0</v>
      </c>
    </row>
    <row r="14" spans="1:25" ht="14.25" customHeight="1" x14ac:dyDescent="0.2">
      <c r="A14" s="6" t="str">
        <f>'Исходные данные'!A13</f>
        <v>Курежский сельсовет</v>
      </c>
      <c r="B14" s="8">
        <f>'Исходные данные'!B13</f>
        <v>341</v>
      </c>
      <c r="C14" s="8">
        <f>ИБР_мсу!V14</f>
        <v>1.4185339448942644</v>
      </c>
      <c r="D14" s="8">
        <f>ИБР_бу!S14</f>
        <v>3.6955323102605977</v>
      </c>
      <c r="E14" s="8">
        <f>ИБР_прочие!N14</f>
        <v>4.449315278929058</v>
      </c>
      <c r="F14" s="8">
        <f>ИБР_культура!F14</f>
        <v>0.86448964943474005</v>
      </c>
      <c r="G14" s="56">
        <f t="shared" si="3"/>
        <v>0.92009554906481861</v>
      </c>
      <c r="H14" s="8">
        <f t="shared" si="0"/>
        <v>1.4280342612833368</v>
      </c>
      <c r="I14" s="8">
        <f t="shared" si="1"/>
        <v>0.6342110194797218</v>
      </c>
      <c r="J14" s="8">
        <f t="shared" si="2"/>
        <v>0.84336881920517048</v>
      </c>
      <c r="K14" s="8">
        <f>G14*'прогноз расходов'!C$27+'ИБР_общий, БО, дотации'!H14*'прогноз расходов'!C$25+'ИБР_общий, БО, дотации'!I14*'прогноз расходов'!C$26+'ИБР_общий, БО, дотации'!J14*'прогноз расходов'!C$28</f>
        <v>1.1216529254623107</v>
      </c>
      <c r="L14" s="8">
        <f>ИНП!L14</f>
        <v>1.0573154591790845</v>
      </c>
      <c r="M14" s="94">
        <f t="shared" si="11"/>
        <v>2.0045517153097805</v>
      </c>
      <c r="N14" s="34">
        <f t="shared" si="4"/>
        <v>1.889571603842974</v>
      </c>
      <c r="O14" s="8">
        <f t="shared" si="5"/>
        <v>382.48364758264796</v>
      </c>
      <c r="P14" s="115">
        <f t="shared" si="8"/>
        <v>335.32714813238425</v>
      </c>
      <c r="Q14" s="56">
        <f t="shared" si="6"/>
        <v>3.7567678623976218E-2</v>
      </c>
      <c r="R14" s="115">
        <f t="shared" si="7"/>
        <v>335.32714813238425</v>
      </c>
      <c r="S14" s="130">
        <v>404.536</v>
      </c>
      <c r="T14" s="124">
        <v>307.17266000000001</v>
      </c>
      <c r="U14" s="8">
        <f t="shared" si="10"/>
        <v>435.47330847409876</v>
      </c>
      <c r="V14" s="56">
        <f t="shared" si="9"/>
        <v>383.64583624284984</v>
      </c>
      <c r="W14" s="108">
        <f>R14+S14+V14-'прогноз расходов'!F12</f>
        <v>-2086.3660156247661</v>
      </c>
      <c r="X14" s="102">
        <f>-'2017,2018,2019'!M12</f>
        <v>-2086366</v>
      </c>
    </row>
    <row r="15" spans="1:25" ht="15" customHeight="1" x14ac:dyDescent="0.2">
      <c r="A15" s="6" t="str">
        <f>'Исходные данные'!A14</f>
        <v>Майский сельсовет</v>
      </c>
      <c r="B15" s="8">
        <f>'Исходные данные'!B14</f>
        <v>350</v>
      </c>
      <c r="C15" s="8">
        <f>ИБР_мсу!V15</f>
        <v>1.3761179841770397</v>
      </c>
      <c r="D15" s="8">
        <f>ИБР_бу!S15</f>
        <v>2.5984003066252943</v>
      </c>
      <c r="E15" s="8">
        <f>ИБР_прочие!N15</f>
        <v>4.225110695894811</v>
      </c>
      <c r="F15" s="8">
        <f>ИБР_культура!F15</f>
        <v>1.1672364420870802</v>
      </c>
      <c r="G15" s="56">
        <f t="shared" si="3"/>
        <v>1.2423156896936922</v>
      </c>
      <c r="H15" s="8">
        <f t="shared" si="0"/>
        <v>1.3853342290793418</v>
      </c>
      <c r="I15" s="8">
        <f t="shared" si="1"/>
        <v>0.44592604505331529</v>
      </c>
      <c r="J15" s="8">
        <f t="shared" si="2"/>
        <v>0.8008707846537747</v>
      </c>
      <c r="K15" s="8">
        <f>G15*'прогноз расходов'!C$27+'ИБР_общий, БО, дотации'!H15*'прогноз расходов'!C$25+'ИБР_общий, БО, дотации'!I15*'прогноз расходов'!C$26+'ИБР_общий, БО, дотации'!J15*'прогноз расходов'!C$28</f>
        <v>1.2168191968934845</v>
      </c>
      <c r="L15" s="8">
        <f>ИНП!L15</f>
        <v>1.0364603657473204</v>
      </c>
      <c r="M15" s="94">
        <f t="shared" si="11"/>
        <v>2.0045517153097805</v>
      </c>
      <c r="N15" s="34">
        <f t="shared" si="4"/>
        <v>1.7074339468949564</v>
      </c>
      <c r="O15" s="8">
        <f t="shared" si="5"/>
        <v>425.88671891271957</v>
      </c>
      <c r="P15" s="115">
        <f t="shared" si="8"/>
        <v>450.94905363203429</v>
      </c>
      <c r="Q15" s="56">
        <f t="shared" si="6"/>
        <v>5.0521137990134572E-2</v>
      </c>
      <c r="R15" s="115">
        <f t="shared" si="7"/>
        <v>450.94905363203429</v>
      </c>
      <c r="S15" s="130">
        <v>363.911</v>
      </c>
      <c r="T15" s="124">
        <v>349.59892000000002</v>
      </c>
      <c r="U15" s="8">
        <f t="shared" si="10"/>
        <v>403.08937228540753</v>
      </c>
      <c r="V15" s="56">
        <f t="shared" si="9"/>
        <v>355.11604569499934</v>
      </c>
      <c r="W15" s="108">
        <f>R15+S15+V15-'прогноз расходов'!F13</f>
        <v>-2265.8679006729658</v>
      </c>
      <c r="X15" s="102">
        <f>-'2017,2018,2019'!M13</f>
        <v>-2265867.9999999995</v>
      </c>
    </row>
    <row r="16" spans="1:25" ht="25.5" x14ac:dyDescent="0.2">
      <c r="A16" s="6" t="str">
        <f>'Исходные данные'!A15</f>
        <v>Малохабыкский сельсовет</v>
      </c>
      <c r="B16" s="8">
        <f>'Исходные данные'!B15</f>
        <v>298</v>
      </c>
      <c r="C16" s="8">
        <f>ИБР_мсу!V16</f>
        <v>1.5159837539885912</v>
      </c>
      <c r="D16" s="8">
        <f>ИБР_бу!S16</f>
        <v>9.4029107576046176</v>
      </c>
      <c r="E16" s="8">
        <f>ИБР_прочие!N16</f>
        <v>6.5676054371456409</v>
      </c>
      <c r="F16" s="8">
        <f>ИБР_культура!F16</f>
        <v>1.1369319253060599</v>
      </c>
      <c r="G16" s="56">
        <f t="shared" si="3"/>
        <v>1.2100619188995496</v>
      </c>
      <c r="H16" s="8">
        <f t="shared" si="0"/>
        <v>1.5261367188544821</v>
      </c>
      <c r="I16" s="8">
        <f t="shared" si="1"/>
        <v>1.6136862343484004</v>
      </c>
      <c r="J16" s="8">
        <f t="shared" si="2"/>
        <v>1.244891246246812</v>
      </c>
      <c r="K16" s="8">
        <f>G16*'прогноз расходов'!C$27+'ИБР_общий, БО, дотации'!H16*'прогноз расходов'!C$25+'ИБР_общий, БО, дотации'!I16*'прогноз расходов'!C$26+'ИБР_общий, БО, дотации'!J16*'прогноз расходов'!C$28</f>
        <v>1.3689261651274656</v>
      </c>
      <c r="L16" s="8">
        <f>ИНП!L16</f>
        <v>0.84881636380984282</v>
      </c>
      <c r="M16" s="94">
        <f t="shared" si="11"/>
        <v>2.0045517153097805</v>
      </c>
      <c r="N16" s="34">
        <f t="shared" si="4"/>
        <v>1.2429423451772497</v>
      </c>
      <c r="O16" s="8">
        <f t="shared" si="5"/>
        <v>407.93999720798473</v>
      </c>
      <c r="P16" s="115">
        <f t="shared" si="8"/>
        <v>621.43091636119811</v>
      </c>
      <c r="Q16" s="56">
        <f t="shared" si="6"/>
        <v>6.9620718402566825E-2</v>
      </c>
      <c r="R16" s="115">
        <f t="shared" si="7"/>
        <v>621.43091636119811</v>
      </c>
      <c r="S16" s="130">
        <v>365.85500000000002</v>
      </c>
      <c r="T16" s="124">
        <v>392.05793</v>
      </c>
      <c r="U16" s="8">
        <f t="shared" si="10"/>
        <v>260.56592857373818</v>
      </c>
      <c r="V16" s="56">
        <f t="shared" si="9"/>
        <v>229.55490409812847</v>
      </c>
      <c r="W16" s="108">
        <f>R16+S16+V16-'прогноз расходов'!F14</f>
        <v>-2699.2181795406727</v>
      </c>
      <c r="X16" s="102">
        <f>-'2017,2018,2019'!M14</f>
        <v>-2699217.9999999991</v>
      </c>
    </row>
    <row r="17" spans="1:24" ht="15" customHeight="1" x14ac:dyDescent="0.2">
      <c r="A17" s="6" t="str">
        <f>'Исходные данные'!A16</f>
        <v>Никольский сельсовет</v>
      </c>
      <c r="B17" s="8">
        <f>'Исходные данные'!B16</f>
        <v>573</v>
      </c>
      <c r="C17" s="8">
        <f>ИБР_мсу!V17</f>
        <v>1.2205318150791453</v>
      </c>
      <c r="D17" s="8">
        <f>ИБР_бу!S17</f>
        <v>3.8712622381913673</v>
      </c>
      <c r="E17" s="8">
        <f>ИБР_прочие!N17</f>
        <v>3.3297048952948844</v>
      </c>
      <c r="F17" s="8">
        <f>ИБР_культура!F17</f>
        <v>1.1652103360065382</v>
      </c>
      <c r="G17" s="56">
        <f t="shared" si="3"/>
        <v>1.2401592599575366</v>
      </c>
      <c r="H17" s="8">
        <f t="shared" si="0"/>
        <v>1.2287060561312655</v>
      </c>
      <c r="I17" s="8">
        <f t="shared" si="1"/>
        <v>0.66436901767571444</v>
      </c>
      <c r="J17" s="8">
        <f t="shared" si="2"/>
        <v>0.63114639215282664</v>
      </c>
      <c r="K17" s="8">
        <f>G17*'прогноз расходов'!C$27+'ИБР_общий, БО, дотации'!H17*'прогноз расходов'!C$25+'ИБР_общий, БО, дотации'!I17*'прогноз расходов'!C$26+'ИБР_общий, БО, дотации'!J17*'прогноз расходов'!C$28</f>
        <v>1.1339555045521945</v>
      </c>
      <c r="L17" s="8">
        <f>ИНП!L17</f>
        <v>0.92124812483680796</v>
      </c>
      <c r="M17" s="94">
        <f t="shared" si="11"/>
        <v>2.0045517153097805</v>
      </c>
      <c r="N17" s="34">
        <f t="shared" si="4"/>
        <v>1.6285378936423174</v>
      </c>
      <c r="O17" s="8">
        <f t="shared" si="5"/>
        <v>649.75650410840751</v>
      </c>
      <c r="P17" s="115">
        <f t="shared" si="8"/>
        <v>739.25622190388697</v>
      </c>
      <c r="Q17" s="56">
        <f t="shared" si="6"/>
        <v>8.2821031103320855E-2</v>
      </c>
      <c r="R17" s="115">
        <f t="shared" si="7"/>
        <v>739.25622190388697</v>
      </c>
      <c r="S17" s="130">
        <v>458.916</v>
      </c>
      <c r="T17" s="124">
        <v>426.11207000000002</v>
      </c>
      <c r="U17" s="8">
        <f t="shared" si="10"/>
        <v>886.38163489546753</v>
      </c>
      <c r="V17" s="56">
        <f t="shared" si="9"/>
        <v>780.88970536756119</v>
      </c>
      <c r="W17" s="108">
        <f>R17+S17+V17-'прогноз расходов'!F15</f>
        <v>-4261.8040727285515</v>
      </c>
      <c r="X17" s="102">
        <f>-'2017,2018,2019'!M15</f>
        <v>-4261804</v>
      </c>
    </row>
    <row r="18" spans="1:24" ht="25.5" x14ac:dyDescent="0.2">
      <c r="A18" s="6" t="str">
        <f>'Исходные данные'!A17</f>
        <v>Новоберезовский сельсовет</v>
      </c>
      <c r="B18" s="8">
        <f>'Исходные данные'!B17</f>
        <v>459</v>
      </c>
      <c r="C18" s="8">
        <f>ИБР_мсу!V18</f>
        <v>1.2468382371839053</v>
      </c>
      <c r="D18" s="8">
        <f>ИБР_бу!S18</f>
        <v>4.2194555296690828</v>
      </c>
      <c r="E18" s="8">
        <f>ИБР_прочие!N18</f>
        <v>4.5916852360046185</v>
      </c>
      <c r="F18" s="8">
        <f>ИБР_культура!F18</f>
        <v>0.9211275969968834</v>
      </c>
      <c r="G18" s="56">
        <f t="shared" si="3"/>
        <v>0.98037657555734992</v>
      </c>
      <c r="H18" s="8">
        <f t="shared" si="0"/>
        <v>1.2551886596618977</v>
      </c>
      <c r="I18" s="8">
        <f t="shared" si="1"/>
        <v>0.72412442063916727</v>
      </c>
      <c r="J18" s="8">
        <f t="shared" si="2"/>
        <v>0.87035508002551121</v>
      </c>
      <c r="K18" s="8">
        <f>G18*'прогноз расходов'!C$27+'ИБР_общий, БО, дотации'!H18*'прогноз расходов'!C$25+'ИБР_общий, БО, дотации'!I18*'прогноз расходов'!C$26+'ИБР_общий, БО, дотации'!J18*'прогноз расходов'!C$28</f>
        <v>1.0766017104168439</v>
      </c>
      <c r="L18" s="8">
        <f>ИНП!L18</f>
        <v>1.0546014267588977</v>
      </c>
      <c r="M18" s="94">
        <f t="shared" si="11"/>
        <v>2.0045517153097805</v>
      </c>
      <c r="N18" s="34">
        <f t="shared" si="4"/>
        <v>1.9635888356142219</v>
      </c>
      <c r="O18" s="8">
        <f t="shared" si="5"/>
        <v>494.16018508133135</v>
      </c>
      <c r="P18" s="115">
        <f t="shared" si="8"/>
        <v>396.65868993600242</v>
      </c>
      <c r="Q18" s="56">
        <f t="shared" si="6"/>
        <v>4.4438830169038893E-2</v>
      </c>
      <c r="R18" s="115">
        <f t="shared" si="7"/>
        <v>396.65868993600242</v>
      </c>
      <c r="S18" s="130">
        <v>308.51600000000002</v>
      </c>
      <c r="T18" s="124">
        <v>301.18113</v>
      </c>
      <c r="U18" s="8">
        <f t="shared" si="10"/>
        <v>804.69805970209643</v>
      </c>
      <c r="V18" s="56">
        <f t="shared" si="9"/>
        <v>708.92762892670282</v>
      </c>
      <c r="W18" s="108">
        <f>R18+S18+V18-'прогноз расходов'!F16</f>
        <v>-2156.4456811372947</v>
      </c>
      <c r="X18" s="102">
        <f>-'2017,2018,2019'!M16</f>
        <v>-2156445</v>
      </c>
    </row>
    <row r="19" spans="1:24" ht="25.5" x14ac:dyDescent="0.2">
      <c r="A19" s="6" t="str">
        <f>'Исходные данные'!A18</f>
        <v>Новотроицкий сельсовет</v>
      </c>
      <c r="B19" s="8">
        <f>'Исходные данные'!B18</f>
        <v>231</v>
      </c>
      <c r="C19" s="8">
        <f>ИБР_мсу!V19</f>
        <v>1.8913297290284659</v>
      </c>
      <c r="D19" s="8">
        <f>ИБР_бу!S19</f>
        <v>10.565392066771608</v>
      </c>
      <c r="E19" s="8">
        <f>ИБР_прочие!N19</f>
        <v>17.983896307251076</v>
      </c>
      <c r="F19" s="8">
        <f>ИБР_культура!F19</f>
        <v>1.043804283787195</v>
      </c>
      <c r="G19" s="56">
        <f t="shared" si="3"/>
        <v>1.110944100065699</v>
      </c>
      <c r="H19" s="8">
        <f t="shared" si="0"/>
        <v>1.9039964902903319</v>
      </c>
      <c r="I19" s="8">
        <f t="shared" si="1"/>
        <v>1.8131861694906071</v>
      </c>
      <c r="J19" s="8">
        <f t="shared" si="2"/>
        <v>3.4088520238568596</v>
      </c>
      <c r="K19" s="8">
        <f>G19*'прогноз расходов'!C$27+'ИБР_общий, БО, дотации'!H19*'прогноз расходов'!C$25+'ИБР_общий, БО, дотации'!I19*'прогноз расходов'!C$26+'ИБР_общий, БО, дотации'!J19*'прогноз расходов'!C$28</f>
        <v>1.7827733552631742</v>
      </c>
      <c r="L19" s="8">
        <f>ИНП!L19</f>
        <v>1.0484062986380061</v>
      </c>
      <c r="M19" s="94">
        <f t="shared" si="11"/>
        <v>2.0045517153097805</v>
      </c>
      <c r="N19" s="34">
        <f t="shared" si="4"/>
        <v>1.1788288388268826</v>
      </c>
      <c r="O19" s="8">
        <f t="shared" si="5"/>
        <v>411.8206450657932</v>
      </c>
      <c r="P19" s="115">
        <f t="shared" si="8"/>
        <v>653.74572421608343</v>
      </c>
      <c r="Q19" s="56">
        <f t="shared" si="6"/>
        <v>7.3241040595533449E-2</v>
      </c>
      <c r="R19" s="115">
        <f t="shared" si="7"/>
        <v>653.74572421608343</v>
      </c>
      <c r="S19" s="130">
        <v>180.67500000000001</v>
      </c>
      <c r="T19" s="124">
        <v>145.18531999999999</v>
      </c>
      <c r="U19" s="8">
        <f t="shared" si="10"/>
        <v>422.80157369778999</v>
      </c>
      <c r="V19" s="56">
        <f t="shared" si="9"/>
        <v>372.48221681933302</v>
      </c>
      <c r="W19" s="108">
        <f>R19+S19+V19-'прогноз расходов'!F17</f>
        <v>-2851.6000589645837</v>
      </c>
      <c r="X19" s="102">
        <f>-'2017,2018,2019'!M17</f>
        <v>-2851600</v>
      </c>
    </row>
    <row r="20" spans="1:24" ht="15" customHeight="1" x14ac:dyDescent="0.2">
      <c r="A20" s="6" t="str">
        <f>'Исходные данные'!A19</f>
        <v>Отрокский сельсовет</v>
      </c>
      <c r="B20" s="8">
        <f>'Исходные данные'!B19</f>
        <v>623</v>
      </c>
      <c r="C20" s="8">
        <f>ИБР_мсу!V20</f>
        <v>1.0412568183173982</v>
      </c>
      <c r="D20" s="8">
        <f>ИБР_бу!S20</f>
        <v>4.4524494319663415</v>
      </c>
      <c r="E20" s="8">
        <f>ИБР_прочие!N20</f>
        <v>4.4760129211741235</v>
      </c>
      <c r="F20" s="8">
        <f>ИБР_культура!F20</f>
        <v>0.88028875649398119</v>
      </c>
      <c r="G20" s="56">
        <f t="shared" si="3"/>
        <v>0.93691088987764537</v>
      </c>
      <c r="H20" s="8">
        <f t="shared" si="0"/>
        <v>1.0482304048515092</v>
      </c>
      <c r="I20" s="8">
        <f t="shared" si="1"/>
        <v>0.76410981053772919</v>
      </c>
      <c r="J20" s="8">
        <f t="shared" si="2"/>
        <v>0.84842936394166368</v>
      </c>
      <c r="K20" s="8">
        <f>G20*'прогноз расходов'!C$27+'ИБР_общий, БО, дотации'!H20*'прогноз расходов'!C$25+'ИБР_общий, БО, дотации'!I20*'прогноз расходов'!C$26+'ИБР_общий, БО, дотации'!J20*'прогноз расходов'!C$28</f>
        <v>0.96751667595074231</v>
      </c>
      <c r="L20" s="8">
        <f>ИНП!L20</f>
        <v>0.95656965298808216</v>
      </c>
      <c r="M20" s="94">
        <f t="shared" si="11"/>
        <v>2.0045517153097805</v>
      </c>
      <c r="N20" s="34">
        <f t="shared" si="4"/>
        <v>1.981871099871527</v>
      </c>
      <c r="O20" s="8">
        <f t="shared" si="5"/>
        <v>602.76288911731251</v>
      </c>
      <c r="P20" s="115">
        <f t="shared" si="8"/>
        <v>472.81339894449178</v>
      </c>
      <c r="Q20" s="56">
        <f t="shared" si="6"/>
        <v>5.2970664378310474E-2</v>
      </c>
      <c r="R20" s="115">
        <f t="shared" si="7"/>
        <v>472.81339894449178</v>
      </c>
      <c r="S20" s="130">
        <v>485.77499999999998</v>
      </c>
      <c r="T20" s="124">
        <v>460.19497000000001</v>
      </c>
      <c r="U20" s="8">
        <f t="shared" si="10"/>
        <v>970.21853549395314</v>
      </c>
      <c r="V20" s="56">
        <f t="shared" si="9"/>
        <v>854.7488310871521</v>
      </c>
      <c r="W20" s="108">
        <f>R20+S20+V20-'прогноз расходов'!F18</f>
        <v>-3674.4087699683573</v>
      </c>
      <c r="X20" s="102">
        <f>-'2017,2018,2019'!M18</f>
        <v>-3674409.0000000009</v>
      </c>
    </row>
    <row r="21" spans="1:24" ht="25.5" x14ac:dyDescent="0.2">
      <c r="A21" s="6" t="str">
        <f>'Исходные данные'!A20</f>
        <v>Романовский сельсовет</v>
      </c>
      <c r="B21" s="8">
        <f>'Исходные данные'!B20</f>
        <v>407</v>
      </c>
      <c r="C21" s="8">
        <f>ИБР_мсу!V21</f>
        <v>1.2785020244714138</v>
      </c>
      <c r="D21" s="8">
        <f>ИБР_бу!S21</f>
        <v>54.5672687663061</v>
      </c>
      <c r="E21" s="8">
        <f>ИБР_прочие!N21</f>
        <v>26.286915126809475</v>
      </c>
      <c r="F21" s="8">
        <f>ИБР_культура!F21</f>
        <v>0.87664941363379312</v>
      </c>
      <c r="G21" s="56">
        <f t="shared" si="3"/>
        <v>0.93303745637919999</v>
      </c>
      <c r="H21" s="8">
        <f t="shared" si="0"/>
        <v>1.2870645081400391</v>
      </c>
      <c r="I21" s="8">
        <f t="shared" si="1"/>
        <v>9.3645949349209126</v>
      </c>
      <c r="J21" s="8">
        <f t="shared" si="2"/>
        <v>4.9826913089377687</v>
      </c>
      <c r="K21" s="8">
        <f>G21*'прогноз расходов'!C$27+'ИБР_общий, БО, дотации'!H21*'прогноз расходов'!C$25+'ИБР_общий, БО, дотации'!I21*'прогноз расходов'!C$26+'ИБР_общий, БО, дотации'!J21*'прогноз расходов'!C$28</f>
        <v>1.9413611486550382</v>
      </c>
      <c r="L21" s="8">
        <f>ИНП!L21</f>
        <v>0.76932578536462159</v>
      </c>
      <c r="M21" s="94">
        <f>M15</f>
        <v>2.0045517153097805</v>
      </c>
      <c r="N21" s="34">
        <f t="shared" si="4"/>
        <v>0.79436704693152504</v>
      </c>
      <c r="O21" s="8">
        <f t="shared" si="5"/>
        <v>790.13398750260058</v>
      </c>
      <c r="P21" s="115">
        <f>IF((M21*P$5-N21)&lt;0,0,(M21*P$5-N21)*O21)</f>
        <v>1558.0765248299231</v>
      </c>
      <c r="Q21" s="56">
        <f t="shared" si="6"/>
        <v>0.17455585830844753</v>
      </c>
      <c r="R21" s="115">
        <f t="shared" si="7"/>
        <v>1558.0765248299231</v>
      </c>
      <c r="S21" s="130">
        <v>420.14600000000002</v>
      </c>
      <c r="T21" s="124">
        <v>403.59359000000001</v>
      </c>
      <c r="U21" s="8">
        <f t="shared" si="10"/>
        <v>472.14989766932081</v>
      </c>
      <c r="V21" s="56">
        <f t="shared" si="9"/>
        <v>415.95739348074505</v>
      </c>
      <c r="W21" s="108">
        <f>R21+S21+V21-'прогноз расходов'!F19</f>
        <v>-1680.1800816893319</v>
      </c>
      <c r="X21" s="102">
        <f>-'2017,2018,2019'!M19</f>
        <v>-1680180</v>
      </c>
    </row>
    <row r="22" spans="1:24" ht="25.5" x14ac:dyDescent="0.2">
      <c r="A22" s="6" t="str">
        <f>'Исходные данные'!A21</f>
        <v>Центральный сельсовет</v>
      </c>
      <c r="B22" s="8">
        <f>'Исходные данные'!B21</f>
        <v>359</v>
      </c>
      <c r="C22" s="8">
        <f>ИБР_мсу!V22</f>
        <v>1.3721109949741879</v>
      </c>
      <c r="D22" s="8">
        <f>ИБР_бу!S22</f>
        <v>3.5143534449429894</v>
      </c>
      <c r="E22" s="8">
        <f>ИБР_прочие!N22</f>
        <v>4.1893758485192603</v>
      </c>
      <c r="F22" s="8">
        <f>ИБР_культура!F22</f>
        <v>0.89163229343741945</v>
      </c>
      <c r="G22" s="56">
        <f t="shared" si="3"/>
        <v>0.94898406838144167</v>
      </c>
      <c r="H22" s="8">
        <f t="shared" si="0"/>
        <v>1.3813004039552688</v>
      </c>
      <c r="I22" s="8">
        <f t="shared" si="1"/>
        <v>0.6031178985882536</v>
      </c>
      <c r="J22" s="8">
        <f t="shared" si="2"/>
        <v>0.79409723543411825</v>
      </c>
      <c r="K22" s="8">
        <f>G22*'прогноз расходов'!C$27+'ИБР_общий, БО, дотации'!H22*'прогноз расходов'!C$25+'ИБР_общий, БО, дотации'!I22*'прогноз расходов'!C$26+'ИБР_общий, БО, дотации'!J22*'прогноз расходов'!C$28</f>
        <v>1.1049506155756961</v>
      </c>
      <c r="L22" s="8">
        <f>ИНП!L22</f>
        <v>0.96731766923160456</v>
      </c>
      <c r="M22" s="94">
        <f>M21</f>
        <v>2.0045517153097805</v>
      </c>
      <c r="N22" s="34">
        <f t="shared" si="4"/>
        <v>1.7548642136349264</v>
      </c>
      <c r="O22" s="8">
        <f t="shared" si="5"/>
        <v>396.6772709916749</v>
      </c>
      <c r="P22" s="115">
        <f t="shared" si="8"/>
        <v>401.20619628160091</v>
      </c>
      <c r="Q22" s="56">
        <f t="shared" si="6"/>
        <v>4.4948300570953649E-2</v>
      </c>
      <c r="R22" s="115">
        <f t="shared" si="7"/>
        <v>401.20619628160091</v>
      </c>
      <c r="S22" s="130">
        <v>281.95400000000001</v>
      </c>
      <c r="T22" s="124">
        <v>269.00382000000002</v>
      </c>
      <c r="U22" s="8">
        <f>B22/((T22/B22)/(T$23/B$23))</f>
        <v>551.14489786551553</v>
      </c>
      <c r="V22" s="56">
        <f>U22/U$23*V$23</f>
        <v>485.55087330954552</v>
      </c>
      <c r="W22" s="108">
        <f>R22+S22+V22-'прогноз расходов'!F20</f>
        <v>-2222.1089304088537</v>
      </c>
      <c r="X22" s="102">
        <f>-'2017,2018,2019'!M20</f>
        <v>-2222110</v>
      </c>
    </row>
    <row r="23" spans="1:24" s="14" customFormat="1" x14ac:dyDescent="0.2">
      <c r="A23" s="10" t="s">
        <v>31</v>
      </c>
      <c r="B23" s="11">
        <f>SUM(B7:B22)</f>
        <v>11718</v>
      </c>
      <c r="C23" s="12">
        <f>ИБР_мсу!V23</f>
        <v>0.99334727699002501</v>
      </c>
      <c r="D23" s="12">
        <f>ИБР_бу!S23</f>
        <v>5.8269758751468022</v>
      </c>
      <c r="E23" s="12">
        <f>ИБР_прочие!N23</f>
        <v>5.2756459304747558</v>
      </c>
      <c r="F23" s="12">
        <f>ИБР_культура!F23</f>
        <v>0.93956508138030215</v>
      </c>
      <c r="G23" s="71">
        <f>SUMPRODUCT(G7:G22,B7:B22)/B23</f>
        <v>1</v>
      </c>
      <c r="H23" s="71">
        <f>SUMPRODUCT(H7:H22,B7:B22)/B23</f>
        <v>1</v>
      </c>
      <c r="I23" s="71">
        <f>SUMPRODUCT(I7:I22,B7:B22)/B23</f>
        <v>1</v>
      </c>
      <c r="J23" s="71">
        <f>SUMPRODUCT(J7:J22,B7:B22)/B23</f>
        <v>1</v>
      </c>
      <c r="K23" s="71">
        <f>SUMPRODUCT(K7:K22,B7:B22)/B23</f>
        <v>0.99999999999999967</v>
      </c>
      <c r="L23" s="12">
        <f>ИНП!L23</f>
        <v>0.99999999999999978</v>
      </c>
      <c r="M23" s="57">
        <f>M22</f>
        <v>2.0045517153097805</v>
      </c>
      <c r="N23" s="53">
        <f>M23*L23/K23</f>
        <v>2.0045517153097809</v>
      </c>
      <c r="O23" s="12">
        <f>B23*K23</f>
        <v>11717.999999999996</v>
      </c>
      <c r="P23" s="161">
        <f>SUM(P7:P22)</f>
        <v>8925.9480600000061</v>
      </c>
      <c r="Q23" s="53">
        <f>P23/P$23</f>
        <v>1</v>
      </c>
      <c r="R23" s="161">
        <f>SUM(R7:R22)</f>
        <v>8925.9480600000061</v>
      </c>
      <c r="S23" s="131">
        <f>SUM(S7:S22)</f>
        <v>15543.711999999998</v>
      </c>
      <c r="T23" s="103">
        <f>SUM(T7:T22)</f>
        <v>13479.967190000003</v>
      </c>
      <c r="U23" s="73">
        <f>SUM(U7:U22)</f>
        <v>13090.448156978122</v>
      </c>
      <c r="V23" s="103">
        <v>11532.5</v>
      </c>
      <c r="W23" s="103">
        <f>W7+W8+W9+W10+W11+W12+W14+W15+W16+W17+W18+W19+W20+W21+W22</f>
        <v>-40686.272145578092</v>
      </c>
      <c r="X23" s="103">
        <f>SUM(X7:X22)</f>
        <v>-40686272</v>
      </c>
    </row>
    <row r="24" spans="1:24" s="14" customFormat="1" x14ac:dyDescent="0.2">
      <c r="A24" s="76"/>
      <c r="B24" s="75"/>
      <c r="C24" s="77"/>
      <c r="D24" s="77"/>
      <c r="E24" s="77"/>
      <c r="F24" s="77"/>
      <c r="G24" s="78"/>
      <c r="H24" s="78"/>
      <c r="I24" s="78"/>
      <c r="J24" s="78"/>
      <c r="K24" s="78"/>
      <c r="L24" s="77"/>
      <c r="M24" s="77"/>
      <c r="N24" s="79"/>
      <c r="O24" s="77"/>
      <c r="P24" s="77"/>
      <c r="Q24" s="80"/>
      <c r="R24" s="81"/>
      <c r="S24" s="132"/>
      <c r="T24" s="83"/>
      <c r="U24" s="83"/>
      <c r="V24" s="83">
        <f>V7+V8+V9+V10+V11+V12+V14+V15+V16+V17+V18+V19+V20+V21+V22</f>
        <v>7928.7349101714608</v>
      </c>
      <c r="W24" s="83"/>
    </row>
    <row r="25" spans="1:24" ht="30.75" customHeight="1" x14ac:dyDescent="0.2">
      <c r="A25" s="91">
        <f>P5</f>
        <v>1.38</v>
      </c>
      <c r="B25" s="92" t="s">
        <v>133</v>
      </c>
      <c r="M25" s="1">
        <f>('[1]Лист1 (2)'!$M$12+'[1]Лист1 (2)'!$M$13+'[1]Лист1 (2)'!$M$16)/B23</f>
        <v>1.1811827956989247</v>
      </c>
      <c r="P25" s="1">
        <v>1.37</v>
      </c>
      <c r="R25" s="86"/>
      <c r="S25" s="133"/>
    </row>
    <row r="26" spans="1:24" ht="48" customHeight="1" x14ac:dyDescent="0.2">
      <c r="A26" s="37"/>
      <c r="V26" s="99" t="s">
        <v>138</v>
      </c>
      <c r="W26" s="99"/>
      <c r="X26" s="90">
        <f>-SUMIF(X7:X22,"&lt;0",X7:X22)</f>
        <v>40686272</v>
      </c>
    </row>
    <row r="27" spans="1:24" ht="30.75" customHeight="1" x14ac:dyDescent="0.2">
      <c r="A27" s="211"/>
      <c r="B27" s="21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55"/>
      <c r="O27" s="42"/>
      <c r="P27" s="42"/>
      <c r="Q27" s="42"/>
    </row>
    <row r="28" spans="1:24" ht="32.25" customHeight="1" x14ac:dyDescent="0.2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55"/>
      <c r="O28" s="42"/>
      <c r="P28" s="42"/>
      <c r="Q28" s="42"/>
    </row>
    <row r="29" spans="1:24" ht="18.75" customHeight="1" x14ac:dyDescent="0.2">
      <c r="A29" s="211"/>
      <c r="B29" s="21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55"/>
      <c r="O29" s="42"/>
      <c r="P29" s="42"/>
      <c r="Q29" s="42"/>
    </row>
  </sheetData>
  <mergeCells count="19">
    <mergeCell ref="F2:F3"/>
    <mergeCell ref="G2:J2"/>
    <mergeCell ref="A27:B27"/>
    <mergeCell ref="D2:D3"/>
    <mergeCell ref="E2:E3"/>
    <mergeCell ref="A29:B29"/>
    <mergeCell ref="A2:A3"/>
    <mergeCell ref="B2:B3"/>
    <mergeCell ref="C2:C3"/>
    <mergeCell ref="K2:K3"/>
    <mergeCell ref="L2:L3"/>
    <mergeCell ref="T2:V2"/>
    <mergeCell ref="Q2:Q3"/>
    <mergeCell ref="N2:N3"/>
    <mergeCell ref="M2:M3"/>
    <mergeCell ref="R2:R3"/>
    <mergeCell ref="O2:O3"/>
    <mergeCell ref="P2:P3"/>
    <mergeCell ref="S2:S3"/>
  </mergeCells>
  <phoneticPr fontId="3" type="noConversion"/>
  <pageMargins left="0" right="0" top="0" bottom="0" header="0.51181102362204722" footer="0.51181102362204722"/>
  <pageSetup paperSize="9" scale="48" fitToWidth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4</vt:i4>
      </vt:variant>
    </vt:vector>
  </HeadingPairs>
  <TitlesOfParts>
    <vt:vector size="15" baseType="lpstr">
      <vt:lpstr>Исходные данные</vt:lpstr>
      <vt:lpstr>прогноз доходов</vt:lpstr>
      <vt:lpstr>прогноз расходов</vt:lpstr>
      <vt:lpstr>ИНП</vt:lpstr>
      <vt:lpstr>ИБР_мсу</vt:lpstr>
      <vt:lpstr>ИБР_бу</vt:lpstr>
      <vt:lpstr>ИБР_прочие</vt:lpstr>
      <vt:lpstr>ИБР_культура</vt:lpstr>
      <vt:lpstr>ИБР_общий, БО, дотации</vt:lpstr>
      <vt:lpstr>2017,2018,2019</vt:lpstr>
      <vt:lpstr>Лист2</vt:lpstr>
      <vt:lpstr>'ИБР_общий, БО, дотации'!Заголовки_для_печати</vt:lpstr>
      <vt:lpstr>'ИБР_общий, БО, дотации'!Область_печати</vt:lpstr>
      <vt:lpstr>ИНП!Область_печати</vt:lpstr>
      <vt:lpstr>'прогноз расходов'!Область_печати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Пользователь Windows</cp:lastModifiedBy>
  <cp:lastPrinted>2016-11-01T06:52:05Z</cp:lastPrinted>
  <dcterms:created xsi:type="dcterms:W3CDTF">1996-10-08T23:32:33Z</dcterms:created>
  <dcterms:modified xsi:type="dcterms:W3CDTF">2016-11-30T09:24:27Z</dcterms:modified>
</cp:coreProperties>
</file>