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5480" windowHeight="11640" tabRatio="851" activeTab="2"/>
  </bookViews>
  <sheets>
    <sheet name="МунПр пр1" sheetId="8" r:id="rId1"/>
    <sheet name="МунПр пр2" sheetId="9" r:id="rId2"/>
    <sheet name="Мун Пр пр3" sheetId="10" r:id="rId3"/>
    <sheet name="МБС" sheetId="1" r:id="rId4"/>
    <sheet name="РДК" sheetId="6" r:id="rId5"/>
    <sheet name="Субс оксм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1" hidden="1">'МунПр пр2'!$A$5:$J$37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3">МБС!$4:$5</definedName>
    <definedName name="_xlnm.Print_Titles" localSheetId="2">'Мун Пр пр3'!$4:$5</definedName>
    <definedName name="_xlnm.Print_Titles" localSheetId="0">'МунПр пр1'!$4:$5</definedName>
    <definedName name="_xlnm.Print_Titles" localSheetId="1">'МунПр пр2'!$4:$5</definedName>
    <definedName name="кат">#REF!</definedName>
    <definedName name="М1">[7]ПРОГНОЗ_1!#REF!</definedName>
    <definedName name="Мониторинг1">'[8]Гр5(о)'!#REF!</definedName>
    <definedName name="_xlnm.Print_Area" localSheetId="3">МБС!$A$1:$N$19</definedName>
    <definedName name="_xlnm.Print_Area" localSheetId="0">'МунПр пр1'!$A$1:$M$47</definedName>
    <definedName name="_xlnm.Print_Area" localSheetId="1">'МунПр пр2'!$A$1:$G$40</definedName>
    <definedName name="_xlnm.Print_Area" localSheetId="4">РДК!$A$1:$N$24</definedName>
    <definedName name="_xlnm.Print_Area" localSheetId="5">'Субс оксм'!$A$1:$N$32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 fullCalcOnLoad="1" refMode="R1C1"/>
</workbook>
</file>

<file path=xl/calcChain.xml><?xml version="1.0" encoding="utf-8"?>
<calcChain xmlns="http://schemas.openxmlformats.org/spreadsheetml/2006/main">
  <c r="B10" i="10" l="1"/>
  <c r="C10" i="10"/>
  <c r="B11" i="10"/>
  <c r="C11" i="10"/>
  <c r="B16" i="10"/>
  <c r="C18" i="10"/>
  <c r="C25" i="10"/>
  <c r="C26" i="10"/>
  <c r="C31" i="10"/>
  <c r="C32" i="10"/>
  <c r="B57" i="10"/>
  <c r="C57" i="10"/>
  <c r="B58" i="10"/>
  <c r="C58" i="10"/>
  <c r="B63" i="10"/>
  <c r="B84" i="10"/>
  <c r="B85" i="10"/>
  <c r="C85" i="10"/>
  <c r="B88" i="10"/>
  <c r="K29" i="7"/>
  <c r="K30" i="7" s="1"/>
  <c r="M27" i="7"/>
  <c r="M26" i="7"/>
  <c r="M25" i="7"/>
  <c r="M24" i="7"/>
  <c r="M23" i="7" s="1"/>
  <c r="M29" i="7" s="1"/>
  <c r="M30" i="7" s="1"/>
  <c r="L23" i="7"/>
  <c r="L29" i="7" s="1"/>
  <c r="L30" i="7" s="1"/>
  <c r="K23" i="7"/>
  <c r="J23" i="7"/>
  <c r="J29" i="7" s="1"/>
  <c r="J30" i="7" s="1"/>
  <c r="M22" i="7"/>
  <c r="M21" i="7"/>
  <c r="M20" i="7"/>
  <c r="M19" i="7"/>
  <c r="M18" i="7" s="1"/>
  <c r="L18" i="7"/>
  <c r="K18" i="7"/>
  <c r="J18" i="7"/>
  <c r="K16" i="7"/>
  <c r="L16" i="7"/>
  <c r="J16" i="7"/>
  <c r="E24" i="9"/>
  <c r="E22" i="9" s="1"/>
  <c r="F24" i="9"/>
  <c r="F22" i="9" s="1"/>
  <c r="D24" i="9"/>
  <c r="D22" i="9" s="1"/>
  <c r="K8" i="8"/>
  <c r="L8" i="8"/>
  <c r="J8" i="8"/>
  <c r="J12" i="8"/>
  <c r="K39" i="8"/>
  <c r="L39" i="8"/>
  <c r="M42" i="8"/>
  <c r="M43" i="8"/>
  <c r="J39" i="8"/>
  <c r="M41" i="8"/>
  <c r="K34" i="8"/>
  <c r="L34" i="8"/>
  <c r="M35" i="8"/>
  <c r="M37" i="8"/>
  <c r="M34" i="8" s="1"/>
  <c r="M38" i="8"/>
  <c r="M36" i="8"/>
  <c r="J34" i="8"/>
  <c r="J28" i="8" s="1"/>
  <c r="M15" i="8"/>
  <c r="K21" i="8"/>
  <c r="K20" i="8"/>
  <c r="K9" i="8" s="1"/>
  <c r="L21" i="8"/>
  <c r="L20" i="8" s="1"/>
  <c r="L9" i="8" s="1"/>
  <c r="L7" i="8" s="1"/>
  <c r="L6" i="8" s="1"/>
  <c r="M22" i="8"/>
  <c r="M23" i="8"/>
  <c r="J21" i="8"/>
  <c r="J20" i="8"/>
  <c r="J9" i="8" s="1"/>
  <c r="K12" i="8"/>
  <c r="L12" i="8"/>
  <c r="M18" i="8"/>
  <c r="M16" i="8"/>
  <c r="M8" i="8" s="1"/>
  <c r="K11" i="1"/>
  <c r="K15" i="1" s="1"/>
  <c r="L11" i="1"/>
  <c r="M8" i="1"/>
  <c r="J11" i="1"/>
  <c r="J15" i="1" s="1"/>
  <c r="K11" i="6"/>
  <c r="K20" i="6" s="1"/>
  <c r="K19" i="6"/>
  <c r="L11" i="6"/>
  <c r="L19" i="6"/>
  <c r="L20" i="6" s="1"/>
  <c r="M8" i="6"/>
  <c r="M14" i="6"/>
  <c r="J11" i="6"/>
  <c r="J20" i="6" s="1"/>
  <c r="J19" i="6"/>
  <c r="M11" i="1"/>
  <c r="M15" i="6"/>
  <c r="M19" i="6" s="1"/>
  <c r="M20" i="6" s="1"/>
  <c r="M9" i="6"/>
  <c r="M11" i="6"/>
  <c r="M13" i="7"/>
  <c r="M14" i="7"/>
  <c r="M16" i="7" s="1"/>
  <c r="D9" i="9"/>
  <c r="E9" i="9"/>
  <c r="F9" i="9"/>
  <c r="F8" i="9" s="1"/>
  <c r="E10" i="9"/>
  <c r="E8" i="9" s="1"/>
  <c r="D10" i="9"/>
  <c r="M17" i="8"/>
  <c r="M19" i="8"/>
  <c r="M30" i="8"/>
  <c r="M13" i="8"/>
  <c r="K14" i="1"/>
  <c r="L14" i="1"/>
  <c r="M14" i="1" s="1"/>
  <c r="M15" i="1" s="1"/>
  <c r="L15" i="1"/>
  <c r="J14" i="1"/>
  <c r="E16" i="9"/>
  <c r="E14" i="9"/>
  <c r="E6" i="9" s="1"/>
  <c r="E32" i="9"/>
  <c r="E30" i="9"/>
  <c r="F16" i="9"/>
  <c r="F14" i="9"/>
  <c r="F32" i="9"/>
  <c r="F30" i="9"/>
  <c r="D16" i="9"/>
  <c r="D14" i="9" s="1"/>
  <c r="D32" i="9"/>
  <c r="D30" i="9"/>
  <c r="G31" i="9"/>
  <c r="G32" i="9"/>
  <c r="G33" i="9"/>
  <c r="G34" i="9"/>
  <c r="G35" i="9"/>
  <c r="G37" i="9"/>
  <c r="G15" i="9"/>
  <c r="G16" i="9"/>
  <c r="G17" i="9"/>
  <c r="G18" i="9"/>
  <c r="G19" i="9"/>
  <c r="G20" i="9"/>
  <c r="G21" i="9"/>
  <c r="G23" i="9"/>
  <c r="G25" i="9"/>
  <c r="G26" i="9"/>
  <c r="G27" i="9"/>
  <c r="G24" i="9" s="1"/>
  <c r="G22" i="9" s="1"/>
  <c r="G28" i="9"/>
  <c r="D11" i="9"/>
  <c r="D8" i="9" s="1"/>
  <c r="E11" i="9"/>
  <c r="F11" i="9"/>
  <c r="G11" i="9"/>
  <c r="G12" i="9"/>
  <c r="K10" i="8"/>
  <c r="L10" i="8"/>
  <c r="Q10" i="8" s="1"/>
  <c r="K11" i="8"/>
  <c r="M11" i="8" s="1"/>
  <c r="L11" i="8"/>
  <c r="J11" i="8"/>
  <c r="M40" i="8"/>
  <c r="M39" i="8" s="1"/>
  <c r="E13" i="9"/>
  <c r="F13" i="9"/>
  <c r="D13" i="9"/>
  <c r="G29" i="9"/>
  <c r="G13" i="9"/>
  <c r="J10" i="7"/>
  <c r="M25" i="8"/>
  <c r="M21" i="8" s="1"/>
  <c r="M20" i="8" s="1"/>
  <c r="M23" i="6"/>
  <c r="M21" i="6"/>
  <c r="M13" i="1"/>
  <c r="G13" i="7"/>
  <c r="F13" i="7"/>
  <c r="K10" i="7"/>
  <c r="L10" i="7"/>
  <c r="M10" i="7"/>
  <c r="M17" i="1"/>
  <c r="K116" i="10"/>
  <c r="J116" i="10"/>
  <c r="I116" i="10"/>
  <c r="K115" i="10"/>
  <c r="J114" i="10"/>
  <c r="K114" i="10"/>
  <c r="I114" i="10"/>
  <c r="K113" i="10"/>
  <c r="K112" i="10"/>
  <c r="K111" i="10"/>
  <c r="K110" i="10"/>
  <c r="K109" i="10"/>
  <c r="J93" i="10"/>
  <c r="K93" i="10"/>
  <c r="I93" i="10"/>
  <c r="J92" i="10"/>
  <c r="K92" i="10" s="1"/>
  <c r="I92" i="10"/>
  <c r="J91" i="10"/>
  <c r="K91" i="10"/>
  <c r="I91" i="10"/>
  <c r="J88" i="10"/>
  <c r="K88" i="10"/>
  <c r="I88" i="10"/>
  <c r="K87" i="10"/>
  <c r="J87" i="10"/>
  <c r="I87" i="10"/>
  <c r="K86" i="10"/>
  <c r="J85" i="10"/>
  <c r="K85" i="10"/>
  <c r="I85" i="10"/>
  <c r="F85" i="10"/>
  <c r="E85" i="10"/>
  <c r="D85" i="10"/>
  <c r="J84" i="10"/>
  <c r="K84" i="10"/>
  <c r="I84" i="10"/>
  <c r="K83" i="10"/>
  <c r="K82" i="10"/>
  <c r="K81" i="10"/>
  <c r="K80" i="10"/>
  <c r="K79" i="10"/>
  <c r="K78" i="10"/>
  <c r="K77" i="10"/>
  <c r="K76" i="10"/>
  <c r="J76" i="10"/>
  <c r="I76" i="10"/>
  <c r="J75" i="10"/>
  <c r="K75" i="10" s="1"/>
  <c r="I75" i="10"/>
  <c r="O68" i="10"/>
  <c r="N68" i="10"/>
  <c r="J68" i="10" s="1"/>
  <c r="K68" i="10" s="1"/>
  <c r="M68" i="10"/>
  <c r="I68" i="10"/>
  <c r="H68" i="10"/>
  <c r="J66" i="10"/>
  <c r="K66" i="10" s="1"/>
  <c r="I66" i="10"/>
  <c r="H66" i="10"/>
  <c r="K64" i="10"/>
  <c r="R58" i="10"/>
  <c r="J58" i="10"/>
  <c r="K58" i="10"/>
  <c r="R60" i="10"/>
  <c r="Q58" i="10"/>
  <c r="Q60" i="10"/>
  <c r="I58" i="10"/>
  <c r="P60" i="10"/>
  <c r="J57" i="10"/>
  <c r="K57" i="10"/>
  <c r="O54" i="10"/>
  <c r="R59" i="10"/>
  <c r="Q59" i="10"/>
  <c r="I57" i="10"/>
  <c r="P59" i="10"/>
  <c r="O58" i="10"/>
  <c r="N58" i="10"/>
  <c r="M58" i="10"/>
  <c r="F58" i="10"/>
  <c r="E58" i="10"/>
  <c r="D58" i="10"/>
  <c r="O57" i="10"/>
  <c r="N57" i="10"/>
  <c r="M57" i="10"/>
  <c r="F57" i="10"/>
  <c r="E57" i="10"/>
  <c r="D57" i="10"/>
  <c r="J51" i="10"/>
  <c r="K51" i="10" s="1"/>
  <c r="I51" i="10"/>
  <c r="J45" i="10"/>
  <c r="K45" i="10"/>
  <c r="I45" i="10"/>
  <c r="F45" i="10"/>
  <c r="J44" i="10"/>
  <c r="K44" i="10"/>
  <c r="I44" i="10"/>
  <c r="N37" i="10"/>
  <c r="N39" i="10" s="1"/>
  <c r="M37" i="10"/>
  <c r="M39" i="10" s="1"/>
  <c r="L37" i="10"/>
  <c r="J32" i="10"/>
  <c r="K32" i="10"/>
  <c r="J31" i="10"/>
  <c r="K31" i="10"/>
  <c r="I32" i="10"/>
  <c r="E32" i="10"/>
  <c r="D32" i="10"/>
  <c r="I31" i="10"/>
  <c r="O26" i="10"/>
  <c r="N26" i="10"/>
  <c r="M26" i="10"/>
  <c r="I26" i="10" s="1"/>
  <c r="O25" i="10"/>
  <c r="N25" i="10"/>
  <c r="M25" i="10"/>
  <c r="J25" i="10"/>
  <c r="K25" i="10"/>
  <c r="I25" i="10"/>
  <c r="O15" i="10"/>
  <c r="N15" i="10"/>
  <c r="M15" i="10"/>
  <c r="O11" i="10"/>
  <c r="N11" i="10"/>
  <c r="M11" i="10"/>
  <c r="J11" i="10"/>
  <c r="K11" i="10" s="1"/>
  <c r="I11" i="10"/>
  <c r="G11" i="10"/>
  <c r="E11" i="10"/>
  <c r="F11" i="10" s="1"/>
  <c r="D11" i="10"/>
  <c r="O10" i="10"/>
  <c r="N10" i="10"/>
  <c r="M10" i="10"/>
  <c r="K10" i="10"/>
  <c r="J10" i="10"/>
  <c r="I10" i="10"/>
  <c r="G10" i="10"/>
  <c r="F10" i="10"/>
  <c r="F32" i="10"/>
  <c r="O3" i="8"/>
  <c r="J26" i="10"/>
  <c r="K26" i="10" s="1"/>
  <c r="K37" i="10"/>
  <c r="M54" i="10"/>
  <c r="J37" i="10"/>
  <c r="J10" i="9"/>
  <c r="I10" i="9"/>
  <c r="H10" i="9"/>
  <c r="M22" i="6"/>
  <c r="I37" i="10"/>
  <c r="H37" i="10"/>
  <c r="L39" i="10"/>
  <c r="N54" i="10"/>
  <c r="P10" i="8"/>
  <c r="G30" i="9"/>
  <c r="K28" i="8"/>
  <c r="K27" i="8" s="1"/>
  <c r="L28" i="8"/>
  <c r="L27" i="8" s="1"/>
  <c r="F6" i="9" l="1"/>
  <c r="G6" i="9" s="1"/>
  <c r="G8" i="9"/>
  <c r="M10" i="8"/>
  <c r="D6" i="9"/>
  <c r="M9" i="8"/>
  <c r="M7" i="8"/>
  <c r="M6" i="8" s="1"/>
  <c r="Q4" i="8"/>
  <c r="Q5" i="8" s="1"/>
  <c r="J11" i="9"/>
  <c r="J27" i="8"/>
  <c r="M28" i="8"/>
  <c r="M27" i="8" s="1"/>
  <c r="K7" i="8"/>
  <c r="K6" i="8" s="1"/>
  <c r="J10" i="8"/>
  <c r="O10" i="8" s="1"/>
  <c r="G10" i="9"/>
  <c r="G9" i="9"/>
  <c r="G14" i="9"/>
  <c r="M12" i="8"/>
  <c r="P4" i="8" l="1"/>
  <c r="P5" i="8" s="1"/>
  <c r="I11" i="9"/>
  <c r="J7" i="8"/>
  <c r="J6" i="8" s="1"/>
  <c r="O4" i="8" l="1"/>
  <c r="O5" i="8" s="1"/>
  <c r="H11" i="9"/>
</calcChain>
</file>

<file path=xl/sharedStrings.xml><?xml version="1.0" encoding="utf-8"?>
<sst xmlns="http://schemas.openxmlformats.org/spreadsheetml/2006/main" count="535" uniqueCount="202">
  <si>
    <t xml:space="preserve">Всего </t>
  </si>
  <si>
    <t>в том числе :</t>
  </si>
  <si>
    <t>федеральный бюджет</t>
  </si>
  <si>
    <t>краевой бюджет</t>
  </si>
  <si>
    <t>юридические лица</t>
  </si>
  <si>
    <t>Показатель объема услуги: число посетителей</t>
  </si>
  <si>
    <t>бибки</t>
  </si>
  <si>
    <t>автономные</t>
  </si>
  <si>
    <t>бюджетные</t>
  </si>
  <si>
    <t>Наименование услуги и ее содержание: Представление музейных предметов, музейных коллекций путем публичного показа,   воспроизведения в  печатных изданиях, на электронных и других видах носителей, в том  числе в виртуальном режиме</t>
  </si>
  <si>
    <t>музеи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</si>
  <si>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</si>
  <si>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</si>
  <si>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</si>
  <si>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</si>
  <si>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</si>
  <si>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Показатель объема услуги: количество зрителей</t>
  </si>
  <si>
    <t>театры</t>
  </si>
  <si>
    <t>филармония</t>
  </si>
  <si>
    <t>отчет за 2012 год (ПЗ к отчету о бюджете)</t>
  </si>
  <si>
    <t>НФЗ по итогам корректировки 2013 года (1 поправка)</t>
  </si>
  <si>
    <t>ДК</t>
  </si>
  <si>
    <t>Т.В. Веселина</t>
  </si>
  <si>
    <t>Первый заместитель министра культуры  Красноярского края</t>
  </si>
  <si>
    <t>Оценка расходов (тыс. руб.), годы</t>
  </si>
  <si>
    <t xml:space="preserve">Статус </t>
  </si>
  <si>
    <t xml:space="preserve">Наименование работы и ее содержание: Формирование, учет, сохранение фондов библиотеки     </t>
  </si>
  <si>
    <t>Наименование работы и ее содержание: Формирование, учет, сохранение фондов музеев</t>
  </si>
  <si>
    <t xml:space="preserve">Наименование работы и ее содержание: Проведение фестивалей,   выставок, смотров,  конкурсов,   конференций и иных  программных   мероприятий, в том числе в рамках международного сотрудничества  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</si>
  <si>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</si>
  <si>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</si>
  <si>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</si>
  <si>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</si>
  <si>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</si>
  <si>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</si>
  <si>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</si>
  <si>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</si>
  <si>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</si>
  <si>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</si>
  <si>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</si>
  <si>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</si>
  <si>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</si>
  <si>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</si>
  <si>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</si>
  <si>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 xml:space="preserve">Наименование работы и ее содержание: Методическая работа в установленной сфере деятельности  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</si>
  <si>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</si>
  <si>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</si>
  <si>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</si>
  <si>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>Дом офицеров</t>
  </si>
  <si>
    <t>Центр культурных инициатив</t>
  </si>
  <si>
    <t xml:space="preserve">Показатель объема работы: количество мероприятий </t>
  </si>
  <si>
    <t xml:space="preserve">Показатель объема работы: количество  новых  (капитально возобновленных) постановок </t>
  </si>
  <si>
    <t xml:space="preserve">Показатель объема работы: объем фондов </t>
  </si>
  <si>
    <t>Показатель объема работы: количество музейных предметов основного фонда</t>
  </si>
  <si>
    <t>Показатель объема работы: количество мероприятий (конференции, семинары, мастер-классы и др.), в том числе на выезде</t>
  </si>
  <si>
    <t>издания</t>
  </si>
  <si>
    <t>Значение показателя объема услуги (работы)</t>
  </si>
  <si>
    <t>Наименование услуги (работы), показателя объема услуги (работы)</t>
  </si>
  <si>
    <t>внебюджетные источники</t>
  </si>
  <si>
    <t>Руководство и управление в сфере установленных функций органов государственной власти субъектов Российской Федерации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</si>
  <si>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</si>
  <si>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Задача 3.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</si>
  <si>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3.</t>
  </si>
  <si>
    <t>2.2.</t>
  </si>
  <si>
    <t>Ответственный исполнитель, 
соисполнители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</si>
  <si>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</si>
  <si>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</si>
  <si>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</si>
  <si>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</si>
  <si>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</si>
  <si>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</si>
  <si>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</si>
  <si>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</si>
  <si>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</si>
  <si>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</si>
  <si>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</si>
  <si>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</si>
  <si>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</si>
  <si>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</si>
  <si>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</si>
  <si>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</si>
  <si>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</si>
  <si>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</si>
  <si>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</si>
  <si>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</si>
  <si>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</si>
  <si>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</si>
  <si>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056</t>
  </si>
  <si>
    <t>0804</t>
  </si>
  <si>
    <t>Обеспечение деятельности подведомственных учреждений</t>
  </si>
  <si>
    <t>0801</t>
  </si>
  <si>
    <t>08</t>
  </si>
  <si>
    <t xml:space="preserve">Задача 2. Сохранение и развитие традиционной народной культуры </t>
  </si>
  <si>
    <t>ДТиС</t>
  </si>
  <si>
    <t>521</t>
  </si>
  <si>
    <t xml:space="preserve">Т.В. Веселина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</si>
  <si>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</si>
  <si>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5144</t>
  </si>
  <si>
    <t>4.6.</t>
  </si>
  <si>
    <t>Статус (государственная программа, подпрограмма)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</si>
  <si>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</si>
  <si>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</si>
  <si>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</si>
  <si>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</si>
  <si>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</si>
  <si>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</si>
  <si>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</si>
  <si>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</si>
  <si>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>Подпрограмма 3</t>
  </si>
  <si>
    <t>Сохранение культурного наследия</t>
  </si>
  <si>
    <t>Поддержка искусства                         и народного творчества</t>
  </si>
  <si>
    <t>Цель. Сохранение и эффективное использование культурного наследия Идринского района</t>
  </si>
  <si>
    <t>Задача 1. Развитие библиотечного дела</t>
  </si>
  <si>
    <t>Обеспечение деятельности (оказание услуг) МБУК "МБС" Идринского района</t>
  </si>
  <si>
    <t>ОКСМ</t>
  </si>
  <si>
    <t>863</t>
  </si>
  <si>
    <t>Итого  по задаче1</t>
  </si>
  <si>
    <t>Количество посетителей составит 30,0 тыс. чел.</t>
  </si>
  <si>
    <t>Обеспечение деятельности (оказание услуг) МБУК ИРКМ</t>
  </si>
  <si>
    <t>Количество посетителей составит 3,6 тыс. чел.</t>
  </si>
  <si>
    <t>Задача 2. Развитие музейного дела</t>
  </si>
  <si>
    <t>СПРАВОЧНО</t>
  </si>
  <si>
    <t>Поступления от приносящей доход деятельности</t>
  </si>
  <si>
    <t>0702</t>
  </si>
  <si>
    <t>Задача 1. Поддержка  дополнительного образования детей  в сфере культуры</t>
  </si>
  <si>
    <t>обеспечение деятельности (оказание услуг) МБОУДОД Идринская ДШИ</t>
  </si>
  <si>
    <t>Количество учащихся составит 224 чел.ежегодно</t>
  </si>
  <si>
    <t>Поступления от приносящей доход деятельности МБУК Идринский РДК</t>
  </si>
  <si>
    <t>Количество мероприятий составит 526 ед.Количество зрителей 55,905 тыс чел.</t>
  </si>
  <si>
    <t>Поступления от добровольных пожертвований МБОУДОД  Идринская ДШИ</t>
  </si>
  <si>
    <t>Число участников на платных мероприятиях-29560</t>
  </si>
  <si>
    <t>Цель. Обеспечение доступа населения Идринского района к культурным благам и участию в культурной жизни</t>
  </si>
  <si>
    <t>Цель. Обеспечение условий для эффективного развития и модернизации образовательного учреждения дополнительного образования детей  в сфере  искусства и культуры в соответствии с приоритетами государственной и муниципальной политики  в области  искусства и культуры.</t>
  </si>
  <si>
    <t>Муниципальная программа</t>
  </si>
  <si>
    <t>"Поддержка искусства и народного творчества"</t>
  </si>
  <si>
    <t xml:space="preserve">"Сохранение культурного наследия"
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</si>
  <si>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</si>
  <si>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Задача 2. Развитие инфраструктуры отрасли «культура»</t>
  </si>
  <si>
    <t>Обеспечение реализации муниципальной программы на 100%</t>
  </si>
  <si>
    <t>районный бюджет</t>
  </si>
  <si>
    <t xml:space="preserve">Прогноз сводных показателей муниципальных заданий </t>
  </si>
  <si>
    <t>Наименование  муниципальной программы,муниципальной подпрограммы</t>
  </si>
  <si>
    <t>Обеспечение условий реализации муниципальной программы и прочие мероприятия</t>
  </si>
  <si>
    <t>Обеспечение реализации муниципальной программы и прочие мероприятия</t>
  </si>
  <si>
    <t>Наименование услуги и ее содержание: Показ  спектаклей,  концертов, концертных программ, иных зрелищных и спортивно-массовых мероприятий, видеопоказ</t>
  </si>
  <si>
    <t>Наименование услуги и ее содержание: Реализация дополнительных  образовательных программ для детей в области культуры и искусства</t>
  </si>
  <si>
    <t>Наименование работы и ее содержание: Создание  спектаклей, концертов, концертных программ, иных зрелищных  и спортивно-массовых мероприятий</t>
  </si>
  <si>
    <t>Наименование работы и ее содержание: Сохранение нематериального   культурного наследия народов Российской  Федерации в области традиционной  народной культуры   и его популяризация</t>
  </si>
  <si>
    <t>Показатель объема услуги: количество посетителей</t>
  </si>
  <si>
    <t>Обеспечение деятельности (оказание услуг) МБУК Идринский РДК</t>
  </si>
  <si>
    <t>Обеспечение деятельности (оказание услуг) МБОУДОД Идринская ДШИ</t>
  </si>
  <si>
    <t>Наименование услуги и ее содержание: Проведение фестивалей,   выставок, смотров,  конкурсов,   конференций и иных  программных   мероприятийсилами учреждения, в т.ч. в рамках зональных и краевых конкурсов</t>
  </si>
  <si>
    <t xml:space="preserve">Наименование услуги и ее содержание: Библиотечное, библиографическое и информационное обслуживание  пользователей  библиотеки          </t>
  </si>
  <si>
    <t>Показатель объема работы:  количество мероприятий(конференции,семинары, мастер-классы и др.).</t>
  </si>
  <si>
    <t>Подпрограмма 2."Сохранение культурного наследия"</t>
  </si>
  <si>
    <t>Подпрограмма 2. "Сохранение культурного наследия"</t>
  </si>
  <si>
    <t>Подпрограмма 1. "Поддержка искусства и народного творчества"</t>
  </si>
  <si>
    <t>Подпрограмма 1." Поддержка искусства и народного творчества"</t>
  </si>
  <si>
    <t>Подпрограмма 1. "Поддержка искусстваи народного творчества"</t>
  </si>
  <si>
    <t>Подпрограмма 1. "Поддержка искусства  и народного творчества"</t>
  </si>
  <si>
    <t xml:space="preserve">Информация о распределении планируемых расходов  
по отдельным мероприятиям программы, подпрограмма ммуниципальной программы«Создание условий для развития культуры» </t>
  </si>
  <si>
    <t xml:space="preserve">«Создание условий для развития культуры» </t>
  </si>
  <si>
    <t>Информация о ресурсном обеспечении и прогнозной оценке расходов на реализацию целей 
муниципальной программы  «Создание условий для развития культуры»  с учетом источников финансирования, 
в том числе средств федерального бюджета и бюджетовИдринского района</t>
  </si>
  <si>
    <t>Расходы местногобюджета на оказание (выполнение) муниципальной услуги (работы), тыс. руб.</t>
  </si>
  <si>
    <t>МУЗЕЙ</t>
  </si>
  <si>
    <t>04</t>
  </si>
  <si>
    <t>611</t>
  </si>
  <si>
    <t>612</t>
  </si>
  <si>
    <t>Комплектование книжных фондов библиотек муниципального образования Идринского района , за счет межбюджетных трансфертов</t>
  </si>
  <si>
    <t>комплектование книжных фондов межпоселенческой библиотеки</t>
  </si>
  <si>
    <t>2017 год</t>
  </si>
  <si>
    <r>
      <t>Перечень мероприятий подпрограммы</t>
    </r>
    <r>
      <rPr>
        <b/>
        <sz val="12"/>
        <rFont val="Times New Roman"/>
        <family val="1"/>
        <charset val="204"/>
      </rPr>
      <t xml:space="preserve"> «Сохранение культурного наследия</t>
    </r>
    <r>
      <rPr>
        <b/>
        <sz val="12"/>
        <color indexed="8"/>
        <rFont val="Times New Roman"/>
        <family val="1"/>
        <charset val="204"/>
      </rPr>
      <t>»
с указанием объема средств на их реализацию и ожидаемых результатов</t>
    </r>
  </si>
  <si>
    <t>рдк платные</t>
  </si>
  <si>
    <t>РДК</t>
  </si>
  <si>
    <t>0004281000</t>
  </si>
  <si>
    <t>МБС</t>
  </si>
  <si>
    <t>ДШИ</t>
  </si>
  <si>
    <t>0410081000</t>
  </si>
  <si>
    <t>0410010310</t>
  </si>
  <si>
    <t>041810000</t>
  </si>
  <si>
    <t>0420081000</t>
  </si>
  <si>
    <t>0430051440</t>
  </si>
  <si>
    <t>0430000210</t>
  </si>
  <si>
    <t>0430081000</t>
  </si>
  <si>
    <t xml:space="preserve">Приложение № 3
к паспорту муниципальной программы «Создание условий для развития культуры»  
</t>
  </si>
  <si>
    <t xml:space="preserve">Приложение № 4
к паспорту муниципальной программы  
«Создание условий для развития культуры»  </t>
  </si>
  <si>
    <t>2018 год</t>
  </si>
  <si>
    <t>Итого на  
2016-2018 годы</t>
  </si>
  <si>
    <r>
      <t xml:space="preserve">Приложение № 2 
к подпрограмме </t>
    </r>
    <r>
      <rPr>
        <sz val="12"/>
        <rFont val="Times New Roman"/>
        <family val="1"/>
        <charset val="204"/>
      </rPr>
      <t>«Сохранение культурного наследия»,</t>
    </r>
    <r>
      <rPr>
        <sz val="12"/>
        <color indexed="8"/>
        <rFont val="Times New Roman"/>
        <family val="1"/>
        <charset val="204"/>
      </rPr>
      <t xml:space="preserve"> реализуемой в рамках муниципальной программы  «Создание условий для развития культуры» </t>
    </r>
  </si>
  <si>
    <t>Итого на 
2016 -2018 годы</t>
  </si>
  <si>
    <t>0081000</t>
  </si>
  <si>
    <t>0008100</t>
  </si>
  <si>
    <t xml:space="preserve">Приложение № 2 
к подпрограмме «Поддержка искусства и народного творчества», реализуемой в рамках муниципальной программы «Создание условий для развития культуры»  </t>
  </si>
  <si>
    <t>Итого на 2016 -2018 годы</t>
  </si>
  <si>
    <t>00103100</t>
  </si>
  <si>
    <t xml:space="preserve">Обеспечение деятельности (оказание услуг) подведомственных учреждений :МБУК Идринский РДК,                   </t>
  </si>
  <si>
    <t>0010310</t>
  </si>
  <si>
    <t>130</t>
  </si>
  <si>
    <t>180</t>
  </si>
  <si>
    <t xml:space="preserve">Приложение № 2 
к подпрограмме «Обеспечение условий реализации муниципальной программы и прочие мероприятия», реализуемой в рамках муниципальной программы «Создание условий для развития культуры» 
</t>
  </si>
  <si>
    <t>0051440</t>
  </si>
  <si>
    <t xml:space="preserve">Приложение № 5
к паспорту муниципальной программы  
«Создание условий для развития культуры»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</si>
</sst>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#,##0.0"/>
    <numFmt numFmtId="173" formatCode="_-* #,##0.0_р_._-;\-* #,##0.0_р_._-;_-* &quot;-&quot;?_р_._-;_-@_-"/>
    <numFmt numFmtId="174" formatCode="0.0"/>
    <numFmt numFmtId="180" formatCode="_-* #,##0.000_р_._-;\-* #,##0.000_р_._-;_-* &quot;-&quot;?_р_._-;_-@_-"/>
    <numFmt numFmtId="182" formatCode="#,##0.000"/>
    <numFmt numFmtId="183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201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73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17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173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172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9" fillId="0" borderId="0" xfId="0" applyFont="1"/>
    <xf numFmtId="173" fontId="9" fillId="0" borderId="0" xfId="0" applyNumberFormat="1" applyFon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 indent="3"/>
    </xf>
    <xf numFmtId="173" fontId="2" fillId="0" borderId="0" xfId="0" applyNumberFormat="1" applyFont="1" applyBorder="1" applyAlignment="1">
      <alignment horizontal="right" vertical="top"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174" fontId="8" fillId="0" borderId="1" xfId="1" applyNumberFormat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right" vertical="top" wrapText="1"/>
    </xf>
    <xf numFmtId="174" fontId="8" fillId="0" borderId="0" xfId="1" applyNumberFormat="1" applyFont="1" applyAlignment="1">
      <alignment vertical="top" wrapText="1"/>
    </xf>
    <xf numFmtId="0" fontId="7" fillId="0" borderId="1" xfId="1" applyFont="1" applyFill="1" applyBorder="1" applyAlignment="1">
      <alignment horizontal="center" vertical="top" wrapText="1"/>
    </xf>
    <xf numFmtId="174" fontId="7" fillId="0" borderId="1" xfId="1" applyNumberFormat="1" applyFont="1" applyFill="1" applyBorder="1" applyAlignment="1">
      <alignment horizontal="right" vertical="top" wrapText="1"/>
    </xf>
    <xf numFmtId="0" fontId="11" fillId="0" borderId="1" xfId="1" applyFont="1" applyFill="1" applyBorder="1" applyAlignment="1">
      <alignment horizontal="center" vertical="top" wrapText="1"/>
    </xf>
    <xf numFmtId="172" fontId="8" fillId="0" borderId="1" xfId="1" applyNumberFormat="1" applyFont="1" applyFill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172" fontId="8" fillId="0" borderId="0" xfId="1" applyNumberFormat="1" applyFont="1" applyAlignment="1">
      <alignment vertical="top" wrapText="1"/>
    </xf>
    <xf numFmtId="2" fontId="8" fillId="0" borderId="0" xfId="1" applyNumberFormat="1" applyFont="1" applyAlignment="1">
      <alignment vertical="top" wrapText="1"/>
    </xf>
    <xf numFmtId="3" fontId="8" fillId="0" borderId="1" xfId="1" applyNumberFormat="1" applyFont="1" applyFill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172" fontId="8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73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8" fillId="0" borderId="0" xfId="0" applyNumberFormat="1" applyFont="1" applyFill="1" applyAlignment="1">
      <alignment horizontal="center" vertical="top" wrapText="1"/>
    </xf>
    <xf numFmtId="0" fontId="4" fillId="0" borderId="0" xfId="1" applyFont="1" applyFill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5" fillId="0" borderId="1" xfId="1" applyFont="1" applyFill="1" applyBorder="1" applyAlignment="1">
      <alignment horizontal="justify" wrapText="1"/>
    </xf>
    <xf numFmtId="0" fontId="15" fillId="0" borderId="1" xfId="0" applyFont="1" applyFill="1" applyBorder="1" applyAlignment="1">
      <alignment horizontal="justify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justify" vertical="top" wrapText="1"/>
    </xf>
    <xf numFmtId="0" fontId="14" fillId="0" borderId="0" xfId="0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180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vertical="top" wrapText="1"/>
    </xf>
    <xf numFmtId="173" fontId="14" fillId="0" borderId="1" xfId="0" applyNumberFormat="1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180" fontId="2" fillId="0" borderId="1" xfId="0" applyNumberFormat="1" applyFont="1" applyBorder="1" applyAlignment="1">
      <alignment horizontal="right" vertical="top" wrapText="1"/>
    </xf>
    <xf numFmtId="173" fontId="13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vertical="top" wrapText="1"/>
    </xf>
    <xf numFmtId="180" fontId="14" fillId="0" borderId="1" xfId="0" applyNumberFormat="1" applyFont="1" applyFill="1" applyBorder="1" applyAlignment="1">
      <alignment horizontal="right" vertical="top" wrapText="1"/>
    </xf>
    <xf numFmtId="183" fontId="4" fillId="0" borderId="1" xfId="1" applyNumberFormat="1" applyFont="1" applyFill="1" applyBorder="1" applyAlignment="1">
      <alignment vertical="top" wrapText="1"/>
    </xf>
    <xf numFmtId="183" fontId="4" fillId="0" borderId="1" xfId="1" applyNumberFormat="1" applyFont="1" applyFill="1" applyBorder="1" applyAlignment="1">
      <alignment horizontal="right" vertical="top" wrapText="1"/>
    </xf>
    <xf numFmtId="182" fontId="4" fillId="0" borderId="1" xfId="1" applyNumberFormat="1" applyFont="1" applyFill="1" applyBorder="1" applyAlignment="1">
      <alignment vertical="top" wrapText="1"/>
    </xf>
    <xf numFmtId="183" fontId="8" fillId="0" borderId="1" xfId="1" applyNumberFormat="1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center" vertical="top" wrapText="1"/>
    </xf>
    <xf numFmtId="182" fontId="8" fillId="0" borderId="1" xfId="1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vertical="top" wrapText="1"/>
    </xf>
    <xf numFmtId="174" fontId="8" fillId="0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80" fontId="13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wrapText="1"/>
    </xf>
    <xf numFmtId="173" fontId="13" fillId="0" borderId="0" xfId="0" applyNumberFormat="1" applyFont="1" applyAlignment="1">
      <alignment wrapText="1"/>
    </xf>
    <xf numFmtId="0" fontId="20" fillId="0" borderId="0" xfId="0" applyFont="1"/>
    <xf numFmtId="173" fontId="20" fillId="0" borderId="0" xfId="0" applyNumberFormat="1" applyFont="1"/>
    <xf numFmtId="0" fontId="2" fillId="0" borderId="3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180" fontId="13" fillId="0" borderId="1" xfId="0" applyNumberFormat="1" applyFont="1" applyFill="1" applyBorder="1" applyAlignment="1">
      <alignment horizontal="right" vertical="top" wrapText="1"/>
    </xf>
    <xf numFmtId="172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0" xfId="0" applyFont="1" applyFill="1" applyAlignment="1">
      <alignment wrapText="1"/>
    </xf>
    <xf numFmtId="49" fontId="13" fillId="0" borderId="7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80" fontId="17" fillId="0" borderId="1" xfId="0" applyNumberFormat="1" applyFont="1" applyBorder="1" applyAlignment="1">
      <alignment horizontal="right" vertical="top" wrapText="1"/>
    </xf>
    <xf numFmtId="0" fontId="17" fillId="0" borderId="0" xfId="0" applyFont="1" applyAlignment="1">
      <alignment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80" fontId="14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wrapText="1"/>
    </xf>
    <xf numFmtId="0" fontId="8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14" fillId="0" borderId="6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wrapText="1"/>
    </xf>
    <xf numFmtId="0" fontId="8" fillId="0" borderId="0" xfId="1" applyFont="1" applyAlignment="1">
      <alignment horizontal="right" vertical="top" wrapText="1"/>
    </xf>
    <xf numFmtId="0" fontId="10" fillId="0" borderId="1" xfId="1" applyFont="1" applyBorder="1" applyAlignment="1">
      <alignment horizontal="left" wrapText="1"/>
    </xf>
    <xf numFmtId="0" fontId="10" fillId="0" borderId="1" xfId="1" applyFont="1" applyBorder="1" applyAlignment="1">
      <alignment horizontal="left"/>
    </xf>
    <xf numFmtId="0" fontId="8" fillId="0" borderId="0" xfId="1" applyFont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19" fillId="0" borderId="1" xfId="1" applyFont="1" applyFill="1" applyBorder="1" applyAlignment="1">
      <alignment horizontal="left" wrapText="1"/>
    </xf>
    <xf numFmtId="0" fontId="19" fillId="0" borderId="1" xfId="1" applyFont="1" applyFill="1" applyBorder="1" applyAlignment="1">
      <alignment horizontal="left"/>
    </xf>
    <xf numFmtId="0" fontId="2" fillId="0" borderId="0" xfId="0" applyFont="1" applyFill="1" applyAlignment="1">
      <alignment horizontal="righ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49" fontId="13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8" fillId="0" borderId="0" xfId="3" applyFont="1" applyFill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right" vertical="top" wrapText="1"/>
    </xf>
    <xf numFmtId="49" fontId="17" fillId="0" borderId="0" xfId="0" applyNumberFormat="1" applyFont="1" applyFill="1" applyAlignment="1">
      <alignment horizontal="center" vertical="top" wrapText="1"/>
    </xf>
    <xf numFmtId="173" fontId="2" fillId="0" borderId="2" xfId="0" applyNumberFormat="1" applyFont="1" applyFill="1" applyBorder="1" applyAlignment="1">
      <alignment horizontal="center" vertical="top" wrapText="1"/>
    </xf>
    <xf numFmtId="173" fontId="2" fillId="0" borderId="7" xfId="0" applyNumberFormat="1" applyFont="1" applyFill="1" applyBorder="1" applyAlignment="1">
      <alignment horizontal="center" vertical="top" wrapText="1"/>
    </xf>
    <xf numFmtId="173" fontId="2" fillId="0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1.2.%20&#1054;&#1058;&#1063;&#1045;&#1058;%20&#1052;&#1048;&#1053;&#1050;&#1059;&#1051;&#1068;&#1058;&#1059;&#1056;&#1067;%20&#1050;&#1056;&#1040;&#1071;%20&#1047;&#1040;%202012%20&#1043;&#1054;&#1044;/&#1054;&#1094;&#1077;&#1085;&#1082;&#1072;%20&#1074;&#1099;&#1087;&#1086;&#1083;&#1085;&#1077;&#1085;&#1080;&#1103;%20&#1075;&#1086;&#1089;&#1091;&#1076;&#1072;&#1088;&#1089;&#1090;&#1074;&#1077;&#1085;&#1085;&#1086;&#1075;&#1086;%20&#1079;&#1072;&#1076;&#1072;&#1085;&#1080;&#1103;%202012%20&#1075;&#1086;&#1076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1.2.%20&#1054;&#1058;&#1063;&#1045;&#1058;%20&#1052;&#1048;&#1053;&#1050;&#1059;&#1051;&#1068;&#1058;&#1059;&#1056;&#1067;%20&#1050;&#1056;&#1040;&#1071;%20&#1047;&#1040;%202012%20&#1043;&#1054;&#1044;/&#1054;&#1090;&#1095;&#1077;&#1090;%20&#1079;&#1072;%20&#1075;&#1086;&#1076;%20&#1087;&#1086;%20&#1087;&#1086;&#1082;&#1072;&#1079;&#1072;&#1090;&#1077;&#1083;&#1103;&#1084;%20&#1082;%201%20&#1084;&#1072;&#1088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-ПП"/>
      <sheetName val="ПП1"/>
      <sheetName val="ПП2"/>
      <sheetName val="ПП3"/>
      <sheetName val="ПП4"/>
      <sheetName val="ПП5"/>
      <sheetName val="ГП-ГЗ"/>
      <sheetName val="АНАЛИЗ ЛИМИТОВ"/>
      <sheetName val="СВЕРКА гз"/>
      <sheetName val="классиф"/>
      <sheetName val="ПП4от Минэка"/>
    </sheetNames>
    <sheetDataSet>
      <sheetData sheetId="0" refreshError="1"/>
      <sheetData sheetId="1" refreshError="1"/>
      <sheetData sheetId="2" refreshError="1"/>
      <sheetData sheetId="3">
        <row r="85">
          <cell r="J85">
            <v>6929</v>
          </cell>
          <cell r="K85">
            <v>6929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  <row r="47">
          <cell r="E47">
            <v>64649.000000000007</v>
          </cell>
          <cell r="F47">
            <v>79418.699999999983</v>
          </cell>
          <cell r="G47">
            <v>79418.699999999983</v>
          </cell>
          <cell r="T47">
            <v>-3217.2</v>
          </cell>
          <cell r="U47">
            <v>-3217.2</v>
          </cell>
          <cell r="V47">
            <v>-3217.2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У"/>
      <sheetName val="Дома, Центры"/>
      <sheetName val="кинограф"/>
      <sheetName val="библиотеки"/>
      <sheetName val="музеи"/>
      <sheetName val="образование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135">
          <cell r="E135">
            <v>250970</v>
          </cell>
        </row>
      </sheetData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D12">
            <v>135452</v>
          </cell>
        </row>
        <row r="13">
          <cell r="D13">
            <v>136492</v>
          </cell>
        </row>
        <row r="14">
          <cell r="D14">
            <v>89389</v>
          </cell>
        </row>
        <row r="15">
          <cell r="D15">
            <v>66931</v>
          </cell>
        </row>
        <row r="16">
          <cell r="D16">
            <v>34280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42">
          <cell r="F42">
            <v>1518464.4185500001</v>
          </cell>
          <cell r="I42">
            <v>1442214.0064999999</v>
          </cell>
          <cell r="L42">
            <v>1466152.7714099998</v>
          </cell>
        </row>
      </sheetData>
      <sheetData sheetId="6">
        <row r="78">
          <cell r="N78">
            <v>1687.4</v>
          </cell>
          <cell r="Q78">
            <v>1763.9</v>
          </cell>
          <cell r="T78">
            <v>1807.6</v>
          </cell>
        </row>
      </sheetData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БЮДЖЕТНЫЕ"/>
      <sheetName val="СВОД АВТОНОМНЫЕ"/>
      <sheetName val="ТЗУ автон"/>
      <sheetName val="ТЗУ бюджетные"/>
      <sheetName val="Филармония"/>
      <sheetName val="Библиотеки авто "/>
      <sheetName val="Библиотеки бюдж"/>
      <sheetName val="музеи"/>
      <sheetName val="образование"/>
      <sheetName val="доп образ авто"/>
      <sheetName val="кинограф"/>
      <sheetName val="дома бюджет"/>
      <sheetName val="дома авто"/>
      <sheetName val="шаблон"/>
      <sheetName val="Филармония (2)"/>
      <sheetName val="Отчет по субсид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E7">
            <v>53</v>
          </cell>
        </row>
        <row r="8">
          <cell r="E8">
            <v>200</v>
          </cell>
        </row>
        <row r="9">
          <cell r="E9">
            <v>40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T48"/>
  <sheetViews>
    <sheetView view="pageBreakPreview" topLeftCell="A10" zoomScale="70" zoomScaleNormal="85" zoomScaleSheetLayoutView="70" workbookViewId="0">
      <selection activeCell="D34" sqref="D34:M43"/>
    </sheetView>
  </sheetViews>
  <sheetFormatPr defaultRowHeight="15.75" outlineLevelCol="1" x14ac:dyDescent="0.25"/>
  <cols>
    <col min="1" max="1" width="18.42578125" style="16" customWidth="1"/>
    <col min="2" max="2" width="20.140625" style="16" customWidth="1"/>
    <col min="3" max="3" width="24.7109375" style="16" customWidth="1"/>
    <col min="4" max="4" width="8" style="16" customWidth="1"/>
    <col min="5" max="5" width="7.140625" style="16" customWidth="1"/>
    <col min="6" max="6" width="3.28515625" style="16" customWidth="1"/>
    <col min="7" max="7" width="3" style="16" customWidth="1"/>
    <col min="8" max="8" width="7.42578125" style="16" customWidth="1"/>
    <col min="9" max="9" width="7.5703125" style="16" customWidth="1"/>
    <col min="10" max="10" width="16.28515625" style="16" bestFit="1" customWidth="1"/>
    <col min="11" max="12" width="16.140625" style="16" bestFit="1" customWidth="1"/>
    <col min="13" max="13" width="17.42578125" style="16" customWidth="1"/>
    <col min="14" max="14" width="12.5703125" style="16" customWidth="1"/>
    <col min="15" max="15" width="16.28515625" style="16" hidden="1" customWidth="1" outlineLevel="1"/>
    <col min="16" max="17" width="16.140625" style="16" hidden="1" customWidth="1" outlineLevel="1"/>
    <col min="18" max="18" width="0" style="16" hidden="1" customWidth="1" outlineLevel="1"/>
    <col min="19" max="19" width="9.140625" style="16" collapsed="1"/>
    <col min="20" max="20" width="13.85546875" style="16" bestFit="1" customWidth="1"/>
    <col min="21" max="16384" width="9.140625" style="16"/>
  </cols>
  <sheetData>
    <row r="1" spans="1:20" ht="72" customHeight="1" x14ac:dyDescent="0.25">
      <c r="K1" s="126" t="s">
        <v>184</v>
      </c>
      <c r="L1" s="126"/>
      <c r="M1" s="126"/>
    </row>
    <row r="2" spans="1:20" ht="51" customHeight="1" x14ac:dyDescent="0.25">
      <c r="A2" s="150" t="s">
        <v>160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20" x14ac:dyDescent="0.25">
      <c r="F3" s="8">
        <v>8</v>
      </c>
      <c r="O3" s="16">
        <f>3273967.4+28000</f>
        <v>3301967.4</v>
      </c>
      <c r="P3" s="16">
        <v>3307058.1</v>
      </c>
      <c r="Q3" s="16">
        <v>2895283.8</v>
      </c>
    </row>
    <row r="4" spans="1:20" ht="34.5" customHeight="1" x14ac:dyDescent="0.25">
      <c r="A4" s="151" t="s">
        <v>99</v>
      </c>
      <c r="B4" s="151" t="s">
        <v>66</v>
      </c>
      <c r="C4" s="151" t="s">
        <v>100</v>
      </c>
      <c r="D4" s="151" t="s">
        <v>101</v>
      </c>
      <c r="E4" s="151"/>
      <c r="F4" s="151"/>
      <c r="G4" s="151"/>
      <c r="H4" s="151"/>
      <c r="I4" s="151"/>
      <c r="J4" s="151" t="s">
        <v>69</v>
      </c>
      <c r="K4" s="151"/>
      <c r="L4" s="151"/>
      <c r="M4" s="151"/>
      <c r="O4" s="18">
        <f>J6</f>
        <v>41615.860999999997</v>
      </c>
      <c r="P4" s="18">
        <f>K6</f>
        <v>41615.860999999997</v>
      </c>
      <c r="Q4" s="18">
        <f>L6</f>
        <v>41597.460999999996</v>
      </c>
    </row>
    <row r="5" spans="1:20" ht="39" customHeight="1" x14ac:dyDescent="0.25">
      <c r="A5" s="151"/>
      <c r="B5" s="151"/>
      <c r="C5" s="151"/>
      <c r="D5" s="17" t="s">
        <v>71</v>
      </c>
      <c r="E5" s="17" t="s">
        <v>72</v>
      </c>
      <c r="F5" s="152" t="s">
        <v>73</v>
      </c>
      <c r="G5" s="153"/>
      <c r="H5" s="154"/>
      <c r="I5" s="17" t="s">
        <v>74</v>
      </c>
      <c r="J5" s="17" t="s">
        <v>77</v>
      </c>
      <c r="K5" s="17" t="s">
        <v>170</v>
      </c>
      <c r="L5" s="17" t="s">
        <v>186</v>
      </c>
      <c r="M5" s="17" t="s">
        <v>187</v>
      </c>
      <c r="O5" s="18">
        <f>O3-O4</f>
        <v>3260351.5389999999</v>
      </c>
      <c r="P5" s="18">
        <f>P3-P4</f>
        <v>3265442.2390000001</v>
      </c>
      <c r="Q5" s="18">
        <f>Q3-Q4</f>
        <v>2853686.3389999997</v>
      </c>
    </row>
    <row r="6" spans="1:20" s="95" customFormat="1" ht="47.25" x14ac:dyDescent="0.25">
      <c r="A6" s="139" t="s">
        <v>133</v>
      </c>
      <c r="B6" s="139" t="s">
        <v>161</v>
      </c>
      <c r="C6" s="91" t="s">
        <v>102</v>
      </c>
      <c r="D6" s="93">
        <v>863</v>
      </c>
      <c r="E6" s="92"/>
      <c r="F6" s="141" t="s">
        <v>103</v>
      </c>
      <c r="G6" s="142"/>
      <c r="H6" s="143"/>
      <c r="I6" s="93" t="s">
        <v>103</v>
      </c>
      <c r="J6" s="94">
        <f>J7*1</f>
        <v>41615.860999999997</v>
      </c>
      <c r="K6" s="94">
        <f>K7*1</f>
        <v>41615.860999999997</v>
      </c>
      <c r="L6" s="94">
        <f>L7*1</f>
        <v>41597.460999999996</v>
      </c>
      <c r="M6" s="94">
        <f>M7*1</f>
        <v>124829.18299999999</v>
      </c>
      <c r="T6" s="96"/>
    </row>
    <row r="7" spans="1:20" ht="24" customHeight="1" x14ac:dyDescent="0.25">
      <c r="A7" s="139"/>
      <c r="B7" s="139"/>
      <c r="C7" s="20" t="s">
        <v>104</v>
      </c>
      <c r="D7" s="17"/>
      <c r="E7" s="17" t="s">
        <v>103</v>
      </c>
      <c r="F7" s="127" t="s">
        <v>103</v>
      </c>
      <c r="G7" s="128"/>
      <c r="H7" s="129"/>
      <c r="I7" s="17" t="s">
        <v>103</v>
      </c>
      <c r="J7" s="94">
        <f>J8+J9+J10</f>
        <v>41615.860999999997</v>
      </c>
      <c r="K7" s="94">
        <f>K8+K9+K10</f>
        <v>41615.860999999997</v>
      </c>
      <c r="L7" s="94">
        <f>L8+L9+L10</f>
        <v>41597.460999999996</v>
      </c>
      <c r="M7" s="94">
        <f>M8+M9+M10</f>
        <v>124829.18299999999</v>
      </c>
      <c r="O7" s="18">
        <v>2809386.2</v>
      </c>
      <c r="P7" s="18">
        <v>2813055.3</v>
      </c>
      <c r="Q7" s="18">
        <v>2810976</v>
      </c>
    </row>
    <row r="8" spans="1:20" ht="28.5" customHeight="1" x14ac:dyDescent="0.25">
      <c r="A8" s="139"/>
      <c r="B8" s="139"/>
      <c r="C8" s="20" t="s">
        <v>114</v>
      </c>
      <c r="D8" s="17">
        <v>863</v>
      </c>
      <c r="E8" s="21" t="s">
        <v>123</v>
      </c>
      <c r="F8" s="127" t="s">
        <v>177</v>
      </c>
      <c r="G8" s="128"/>
      <c r="H8" s="129"/>
      <c r="I8" s="17">
        <v>611</v>
      </c>
      <c r="J8" s="78">
        <f>J13+J15+J16</f>
        <v>8372.0110000000004</v>
      </c>
      <c r="K8" s="78">
        <f>K13+K15+K16</f>
        <v>8372.0110000000004</v>
      </c>
      <c r="L8" s="78">
        <f>L13+L15+L16</f>
        <v>8372.0110000000004</v>
      </c>
      <c r="M8" s="78">
        <f>M13+M15+M16</f>
        <v>25116.032999999999</v>
      </c>
      <c r="O8" s="18"/>
      <c r="P8" s="18"/>
      <c r="Q8" s="18"/>
    </row>
    <row r="9" spans="1:20" ht="30" customHeight="1" x14ac:dyDescent="0.25">
      <c r="A9" s="139"/>
      <c r="B9" s="139"/>
      <c r="C9" s="20" t="s">
        <v>114</v>
      </c>
      <c r="D9" s="17">
        <v>863</v>
      </c>
      <c r="E9" s="21" t="s">
        <v>90</v>
      </c>
      <c r="F9" s="127" t="s">
        <v>103</v>
      </c>
      <c r="G9" s="128"/>
      <c r="H9" s="129"/>
      <c r="I9" s="17" t="s">
        <v>103</v>
      </c>
      <c r="J9" s="78">
        <f>J17+J18+J19+J20+J30</f>
        <v>28771.055</v>
      </c>
      <c r="K9" s="78">
        <f>K17+K18+K19+K20+K30</f>
        <v>28771.055</v>
      </c>
      <c r="L9" s="78">
        <f>L17+L18+L19+L20+L30</f>
        <v>28752.654999999999</v>
      </c>
      <c r="M9" s="78">
        <f>M17+M18+M19+M20+M30</f>
        <v>86294.764999999999</v>
      </c>
      <c r="O9" s="18"/>
      <c r="P9" s="18"/>
      <c r="Q9" s="18"/>
    </row>
    <row r="10" spans="1:20" ht="35.25" customHeight="1" x14ac:dyDescent="0.25">
      <c r="A10" s="139"/>
      <c r="B10" s="139"/>
      <c r="C10" s="20" t="s">
        <v>114</v>
      </c>
      <c r="D10" s="17">
        <v>863</v>
      </c>
      <c r="E10" s="21" t="s">
        <v>88</v>
      </c>
      <c r="F10" s="127" t="s">
        <v>103</v>
      </c>
      <c r="G10" s="128"/>
      <c r="H10" s="129"/>
      <c r="I10" s="17" t="s">
        <v>103</v>
      </c>
      <c r="J10" s="78">
        <f>J34+J39</f>
        <v>4472.7950000000001</v>
      </c>
      <c r="K10" s="78">
        <f>K34+K39</f>
        <v>4472.7950000000001</v>
      </c>
      <c r="L10" s="78">
        <f>L34+L39</f>
        <v>4472.7950000000001</v>
      </c>
      <c r="M10" s="78">
        <f>M34+M39</f>
        <v>13418.385</v>
      </c>
      <c r="O10" s="18">
        <f>J10-[13]ПП3!J85-[13]ПП3!J98-[13]ПП3!J99</f>
        <v>-5551.1049999999996</v>
      </c>
      <c r="P10" s="18">
        <f>K10-[13]ПП3!K85-[13]ПП3!K98-[13]ПП3!K99</f>
        <v>-5593.2049999999999</v>
      </c>
      <c r="Q10" s="18">
        <f>L10-[13]ПП3!L85-[13]ПП3!L98-[13]ПП3!L99</f>
        <v>-5593.2049999999999</v>
      </c>
    </row>
    <row r="11" spans="1:20" s="95" customFormat="1" ht="47.25" x14ac:dyDescent="0.25">
      <c r="A11" s="139" t="s">
        <v>105</v>
      </c>
      <c r="B11" s="140" t="s">
        <v>134</v>
      </c>
      <c r="C11" s="91" t="s">
        <v>106</v>
      </c>
      <c r="D11" s="93">
        <v>863</v>
      </c>
      <c r="E11" s="93" t="s">
        <v>103</v>
      </c>
      <c r="F11" s="141" t="s">
        <v>103</v>
      </c>
      <c r="G11" s="142"/>
      <c r="H11" s="143"/>
      <c r="I11" s="93" t="s">
        <v>103</v>
      </c>
      <c r="J11" s="94">
        <f>J12*1</f>
        <v>21319.554</v>
      </c>
      <c r="K11" s="94">
        <f>K12*1</f>
        <v>21212.477999999999</v>
      </c>
      <c r="L11" s="94">
        <f>L12*1</f>
        <v>21212.477999999999</v>
      </c>
      <c r="M11" s="94">
        <f>SUM(J11:L11)</f>
        <v>63744.509999999995</v>
      </c>
    </row>
    <row r="12" spans="1:20" s="95" customFormat="1" ht="33" customHeight="1" x14ac:dyDescent="0.25">
      <c r="A12" s="139"/>
      <c r="B12" s="140"/>
      <c r="C12" s="91" t="s">
        <v>104</v>
      </c>
      <c r="D12" s="93">
        <v>863</v>
      </c>
      <c r="E12" s="93" t="s">
        <v>103</v>
      </c>
      <c r="F12" s="141" t="s">
        <v>103</v>
      </c>
      <c r="G12" s="142"/>
      <c r="H12" s="143"/>
      <c r="I12" s="93" t="s">
        <v>103</v>
      </c>
      <c r="J12" s="94">
        <f>J13+J14+J16+J17+J18+J19+J15</f>
        <v>21319.554</v>
      </c>
      <c r="K12" s="94">
        <f>K13+K14+K16+K17+K18+K19</f>
        <v>21212.477999999999</v>
      </c>
      <c r="L12" s="94">
        <f>L13+L14+L16+L17+L18+L19</f>
        <v>21212.477999999999</v>
      </c>
      <c r="M12" s="94">
        <f>M13+M14+M16+M17+M18+M19</f>
        <v>63637.434000000001</v>
      </c>
    </row>
    <row r="13" spans="1:20" ht="30.75" customHeight="1" x14ac:dyDescent="0.25">
      <c r="A13" s="139"/>
      <c r="B13" s="140"/>
      <c r="C13" s="130" t="s">
        <v>114</v>
      </c>
      <c r="D13" s="17">
        <v>863</v>
      </c>
      <c r="E13" s="21" t="s">
        <v>123</v>
      </c>
      <c r="F13" s="127" t="s">
        <v>177</v>
      </c>
      <c r="G13" s="128"/>
      <c r="H13" s="129"/>
      <c r="I13" s="17">
        <v>611</v>
      </c>
      <c r="J13" s="78">
        <v>8144.9350000000004</v>
      </c>
      <c r="K13" s="78">
        <v>8144.9350000000004</v>
      </c>
      <c r="L13" s="78">
        <v>8144.9350000000004</v>
      </c>
      <c r="M13" s="78">
        <f t="shared" ref="M13:M19" si="0">SUM(J13:L13)</f>
        <v>24434.805</v>
      </c>
      <c r="N13" s="16" t="s">
        <v>176</v>
      </c>
    </row>
    <row r="14" spans="1:20" ht="31.5" hidden="1" customHeight="1" x14ac:dyDescent="0.25">
      <c r="A14" s="139"/>
      <c r="B14" s="140"/>
      <c r="C14" s="131"/>
      <c r="D14" s="17"/>
      <c r="E14" s="21"/>
      <c r="F14" s="127"/>
      <c r="G14" s="128"/>
      <c r="H14" s="129"/>
      <c r="I14" s="17"/>
      <c r="J14" s="78"/>
      <c r="K14" s="78"/>
      <c r="L14" s="78"/>
      <c r="M14" s="78"/>
    </row>
    <row r="15" spans="1:20" ht="24" customHeight="1" x14ac:dyDescent="0.25">
      <c r="A15" s="139"/>
      <c r="B15" s="140"/>
      <c r="C15" s="131"/>
      <c r="D15" s="17">
        <v>863</v>
      </c>
      <c r="E15" s="21" t="s">
        <v>123</v>
      </c>
      <c r="F15" s="127" t="s">
        <v>178</v>
      </c>
      <c r="G15" s="128"/>
      <c r="H15" s="129"/>
      <c r="I15" s="17">
        <v>611</v>
      </c>
      <c r="J15" s="78">
        <v>107.07599999999999</v>
      </c>
      <c r="K15" s="78">
        <v>107.07599999999999</v>
      </c>
      <c r="L15" s="78">
        <v>107.07599999999999</v>
      </c>
      <c r="M15" s="78">
        <f>SUM(J15:L15)</f>
        <v>321.22799999999995</v>
      </c>
    </row>
    <row r="16" spans="1:20" ht="21" customHeight="1" x14ac:dyDescent="0.25">
      <c r="A16" s="139"/>
      <c r="B16" s="140"/>
      <c r="C16" s="132"/>
      <c r="D16" s="17">
        <v>863</v>
      </c>
      <c r="E16" s="21" t="s">
        <v>123</v>
      </c>
      <c r="F16" s="127" t="s">
        <v>177</v>
      </c>
      <c r="G16" s="128"/>
      <c r="H16" s="129"/>
      <c r="I16" s="17">
        <v>180</v>
      </c>
      <c r="J16" s="78">
        <v>120</v>
      </c>
      <c r="K16" s="78">
        <v>120</v>
      </c>
      <c r="L16" s="78">
        <v>120</v>
      </c>
      <c r="M16" s="78">
        <f t="shared" si="0"/>
        <v>360</v>
      </c>
    </row>
    <row r="17" spans="1:14" ht="21.75" customHeight="1" x14ac:dyDescent="0.25">
      <c r="A17" s="139"/>
      <c r="B17" s="140"/>
      <c r="C17" s="130" t="s">
        <v>114</v>
      </c>
      <c r="D17" s="17">
        <v>863</v>
      </c>
      <c r="E17" s="21" t="s">
        <v>90</v>
      </c>
      <c r="F17" s="127" t="s">
        <v>179</v>
      </c>
      <c r="G17" s="128"/>
      <c r="H17" s="129"/>
      <c r="I17" s="17">
        <v>611</v>
      </c>
      <c r="J17" s="78">
        <v>12500.962</v>
      </c>
      <c r="K17" s="78">
        <v>12500.962</v>
      </c>
      <c r="L17" s="78">
        <v>12500.962</v>
      </c>
      <c r="M17" s="78">
        <f t="shared" si="0"/>
        <v>37502.885999999999</v>
      </c>
      <c r="N17" s="16" t="s">
        <v>173</v>
      </c>
    </row>
    <row r="18" spans="1:14" ht="21.75" customHeight="1" x14ac:dyDescent="0.25">
      <c r="A18" s="139"/>
      <c r="B18" s="140"/>
      <c r="C18" s="132"/>
      <c r="D18" s="17">
        <v>863</v>
      </c>
      <c r="E18" s="21" t="s">
        <v>90</v>
      </c>
      <c r="F18" s="127" t="s">
        <v>178</v>
      </c>
      <c r="G18" s="128"/>
      <c r="H18" s="129"/>
      <c r="I18" s="17">
        <v>611</v>
      </c>
      <c r="J18" s="78">
        <v>116.581</v>
      </c>
      <c r="K18" s="78">
        <v>116.581</v>
      </c>
      <c r="L18" s="78">
        <v>116.581</v>
      </c>
      <c r="M18" s="78">
        <f t="shared" si="0"/>
        <v>349.74299999999999</v>
      </c>
    </row>
    <row r="19" spans="1:14" ht="20.25" customHeight="1" x14ac:dyDescent="0.25">
      <c r="A19" s="139"/>
      <c r="B19" s="140"/>
      <c r="C19" s="20" t="s">
        <v>114</v>
      </c>
      <c r="D19" s="17">
        <v>863</v>
      </c>
      <c r="E19" s="21" t="s">
        <v>90</v>
      </c>
      <c r="F19" s="127" t="s">
        <v>177</v>
      </c>
      <c r="G19" s="128"/>
      <c r="H19" s="129"/>
      <c r="I19" s="17">
        <v>130</v>
      </c>
      <c r="J19" s="90">
        <v>330</v>
      </c>
      <c r="K19" s="90">
        <v>330</v>
      </c>
      <c r="L19" s="90">
        <v>330</v>
      </c>
      <c r="M19" s="78">
        <f t="shared" si="0"/>
        <v>990</v>
      </c>
      <c r="N19" s="16" t="s">
        <v>172</v>
      </c>
    </row>
    <row r="20" spans="1:14" s="119" customFormat="1" ht="47.25" customHeight="1" x14ac:dyDescent="0.25">
      <c r="A20" s="145" t="s">
        <v>107</v>
      </c>
      <c r="B20" s="145" t="s">
        <v>135</v>
      </c>
      <c r="C20" s="115" t="s">
        <v>106</v>
      </c>
      <c r="D20" s="116" t="s">
        <v>115</v>
      </c>
      <c r="E20" s="117" t="s">
        <v>103</v>
      </c>
      <c r="F20" s="136" t="s">
        <v>103</v>
      </c>
      <c r="G20" s="137"/>
      <c r="H20" s="138"/>
      <c r="I20" s="117" t="s">
        <v>103</v>
      </c>
      <c r="J20" s="118">
        <f>J21*1</f>
        <v>15805.111999999999</v>
      </c>
      <c r="K20" s="118">
        <f>K21*1</f>
        <v>15805.111999999999</v>
      </c>
      <c r="L20" s="118">
        <f>L21*1</f>
        <v>15805.111999999999</v>
      </c>
      <c r="M20" s="118">
        <f>M21*1</f>
        <v>47415.335999999996</v>
      </c>
    </row>
    <row r="21" spans="1:14" s="119" customFormat="1" ht="30.75" customHeight="1" x14ac:dyDescent="0.25">
      <c r="A21" s="146"/>
      <c r="B21" s="146"/>
      <c r="C21" s="115" t="s">
        <v>104</v>
      </c>
      <c r="D21" s="116" t="s">
        <v>115</v>
      </c>
      <c r="E21" s="117" t="s">
        <v>103</v>
      </c>
      <c r="F21" s="136" t="s">
        <v>103</v>
      </c>
      <c r="G21" s="137"/>
      <c r="H21" s="138"/>
      <c r="I21" s="117" t="s">
        <v>103</v>
      </c>
      <c r="J21" s="118">
        <f>J22+J23+J24+J25</f>
        <v>15805.111999999999</v>
      </c>
      <c r="K21" s="118">
        <f>K22+K23+K24+K25</f>
        <v>15805.111999999999</v>
      </c>
      <c r="L21" s="118">
        <f>L22+L23+L24+L25</f>
        <v>15805.111999999999</v>
      </c>
      <c r="M21" s="118">
        <f>M22+M23+M24+M25</f>
        <v>47415.335999999996</v>
      </c>
    </row>
    <row r="22" spans="1:14" s="124" customFormat="1" ht="31.5" customHeight="1" x14ac:dyDescent="0.25">
      <c r="A22" s="146"/>
      <c r="B22" s="146"/>
      <c r="C22" s="147" t="s">
        <v>114</v>
      </c>
      <c r="D22" s="120" t="s">
        <v>115</v>
      </c>
      <c r="E22" s="121" t="s">
        <v>90</v>
      </c>
      <c r="F22" s="133" t="s">
        <v>180</v>
      </c>
      <c r="G22" s="134"/>
      <c r="H22" s="135"/>
      <c r="I22" s="122">
        <v>611</v>
      </c>
      <c r="J22" s="123">
        <v>14684.192999999999</v>
      </c>
      <c r="K22" s="123">
        <v>14684.192999999999</v>
      </c>
      <c r="L22" s="123">
        <v>14684.192999999999</v>
      </c>
      <c r="M22" s="123">
        <f>SUM(J22:L22)</f>
        <v>44052.578999999998</v>
      </c>
      <c r="N22" s="124" t="s">
        <v>175</v>
      </c>
    </row>
    <row r="23" spans="1:14" s="124" customFormat="1" ht="31.5" customHeight="1" x14ac:dyDescent="0.25">
      <c r="A23" s="146"/>
      <c r="B23" s="146"/>
      <c r="C23" s="148"/>
      <c r="D23" s="122">
        <v>863</v>
      </c>
      <c r="E23" s="121" t="s">
        <v>90</v>
      </c>
      <c r="F23" s="133" t="s">
        <v>180</v>
      </c>
      <c r="G23" s="134"/>
      <c r="H23" s="135"/>
      <c r="I23" s="122">
        <v>130</v>
      </c>
      <c r="J23" s="123">
        <v>325</v>
      </c>
      <c r="K23" s="123">
        <v>325</v>
      </c>
      <c r="L23" s="123">
        <v>325</v>
      </c>
      <c r="M23" s="123">
        <f>SUM(J23:L23)</f>
        <v>975</v>
      </c>
    </row>
    <row r="24" spans="1:14" s="124" customFormat="1" ht="31.5" hidden="1" customHeight="1" x14ac:dyDescent="0.25">
      <c r="A24" s="146"/>
      <c r="B24" s="146"/>
      <c r="C24" s="149"/>
      <c r="D24" s="120"/>
      <c r="E24" s="121"/>
      <c r="F24" s="133"/>
      <c r="G24" s="134"/>
      <c r="H24" s="135"/>
      <c r="I24" s="122"/>
      <c r="J24" s="123"/>
      <c r="K24" s="123"/>
      <c r="L24" s="123"/>
      <c r="M24" s="123"/>
    </row>
    <row r="25" spans="1:14" s="124" customFormat="1" ht="35.25" customHeight="1" x14ac:dyDescent="0.25">
      <c r="A25" s="146"/>
      <c r="B25" s="146"/>
      <c r="C25" s="114" t="s">
        <v>114</v>
      </c>
      <c r="D25" s="121" t="s">
        <v>115</v>
      </c>
      <c r="E25" s="121" t="s">
        <v>90</v>
      </c>
      <c r="F25" s="133" t="s">
        <v>174</v>
      </c>
      <c r="G25" s="134"/>
      <c r="H25" s="135"/>
      <c r="I25" s="122">
        <v>611</v>
      </c>
      <c r="J25" s="123">
        <v>795.91899999999998</v>
      </c>
      <c r="K25" s="123">
        <v>795.91899999999998</v>
      </c>
      <c r="L25" s="123">
        <v>795.91899999999998</v>
      </c>
      <c r="M25" s="123">
        <f>SUM(J25:L25)</f>
        <v>2387.7570000000001</v>
      </c>
      <c r="N25" s="124" t="s">
        <v>164</v>
      </c>
    </row>
    <row r="26" spans="1:14" s="124" customFormat="1" hidden="1" x14ac:dyDescent="0.25">
      <c r="A26" s="146"/>
      <c r="B26" s="146"/>
      <c r="C26" s="114"/>
      <c r="D26" s="121"/>
      <c r="E26" s="121"/>
      <c r="F26" s="133"/>
      <c r="G26" s="134"/>
      <c r="H26" s="135"/>
      <c r="I26" s="122"/>
      <c r="J26" s="123"/>
      <c r="K26" s="123"/>
      <c r="L26" s="123"/>
      <c r="M26" s="123"/>
    </row>
    <row r="27" spans="1:14" s="124" customFormat="1" ht="47.25" x14ac:dyDescent="0.25">
      <c r="A27" s="140" t="s">
        <v>108</v>
      </c>
      <c r="B27" s="144" t="s">
        <v>143</v>
      </c>
      <c r="C27" s="114" t="s">
        <v>106</v>
      </c>
      <c r="D27" s="116" t="s">
        <v>115</v>
      </c>
      <c r="E27" s="117" t="s">
        <v>103</v>
      </c>
      <c r="F27" s="136" t="s">
        <v>103</v>
      </c>
      <c r="G27" s="137"/>
      <c r="H27" s="138"/>
      <c r="I27" s="117" t="s">
        <v>103</v>
      </c>
      <c r="J27" s="118">
        <f>J28</f>
        <v>4491.1949999999997</v>
      </c>
      <c r="K27" s="118">
        <f>K28</f>
        <v>4491.1949999999997</v>
      </c>
      <c r="L27" s="118">
        <f>L28</f>
        <v>4472.7950000000001</v>
      </c>
      <c r="M27" s="118">
        <f>M28</f>
        <v>13455.184999999999</v>
      </c>
    </row>
    <row r="28" spans="1:14" s="124" customFormat="1" x14ac:dyDescent="0.25">
      <c r="A28" s="140"/>
      <c r="B28" s="144"/>
      <c r="C28" s="114" t="s">
        <v>104</v>
      </c>
      <c r="D28" s="116" t="s">
        <v>115</v>
      </c>
      <c r="E28" s="117" t="s">
        <v>103</v>
      </c>
      <c r="F28" s="136" t="s">
        <v>103</v>
      </c>
      <c r="G28" s="137"/>
      <c r="H28" s="138"/>
      <c r="I28" s="117" t="s">
        <v>103</v>
      </c>
      <c r="J28" s="118">
        <f>J29+J31+J32+J33+J34+J39+J30</f>
        <v>4491.1949999999997</v>
      </c>
      <c r="K28" s="118">
        <f>K29+K31+K32+K33+K34+K39+K30</f>
        <v>4491.1949999999997</v>
      </c>
      <c r="L28" s="118">
        <f>L29+L31+L32+L33+L34+L39+L30</f>
        <v>4472.7950000000001</v>
      </c>
      <c r="M28" s="118">
        <f>SUM(J28:L28)</f>
        <v>13455.184999999999</v>
      </c>
    </row>
    <row r="29" spans="1:14" s="124" customFormat="1" ht="41.25" hidden="1" customHeight="1" x14ac:dyDescent="0.25">
      <c r="A29" s="140"/>
      <c r="B29" s="144"/>
      <c r="C29" s="114"/>
      <c r="D29" s="121"/>
      <c r="E29" s="121"/>
      <c r="F29" s="133"/>
      <c r="G29" s="134"/>
      <c r="H29" s="135"/>
      <c r="I29" s="122"/>
      <c r="J29" s="123"/>
      <c r="K29" s="123"/>
      <c r="L29" s="123"/>
      <c r="M29" s="123"/>
    </row>
    <row r="30" spans="1:14" s="124" customFormat="1" ht="27.75" customHeight="1" x14ac:dyDescent="0.25">
      <c r="A30" s="140"/>
      <c r="B30" s="144"/>
      <c r="C30" s="114"/>
      <c r="D30" s="121" t="s">
        <v>115</v>
      </c>
      <c r="E30" s="121" t="s">
        <v>90</v>
      </c>
      <c r="F30" s="133" t="s">
        <v>181</v>
      </c>
      <c r="G30" s="134"/>
      <c r="H30" s="135"/>
      <c r="I30" s="122">
        <v>612</v>
      </c>
      <c r="J30" s="123">
        <v>18.399999999999999</v>
      </c>
      <c r="K30" s="123">
        <v>18.399999999999999</v>
      </c>
      <c r="L30" s="123"/>
      <c r="M30" s="123">
        <f t="shared" ref="M30:M43" si="1">SUM(J30:L30)</f>
        <v>36.799999999999997</v>
      </c>
    </row>
    <row r="31" spans="1:14" s="124" customFormat="1" ht="26.25" hidden="1" customHeight="1" x14ac:dyDescent="0.25">
      <c r="A31" s="140"/>
      <c r="B31" s="144"/>
      <c r="C31" s="114"/>
      <c r="D31" s="121"/>
      <c r="E31" s="121"/>
      <c r="F31" s="133"/>
      <c r="G31" s="134"/>
      <c r="H31" s="135"/>
      <c r="I31" s="122"/>
      <c r="J31" s="123"/>
      <c r="K31" s="123"/>
      <c r="L31" s="123"/>
      <c r="M31" s="123"/>
    </row>
    <row r="32" spans="1:14" s="124" customFormat="1" ht="25.5" hidden="1" customHeight="1" x14ac:dyDescent="0.25">
      <c r="A32" s="140"/>
      <c r="B32" s="144"/>
      <c r="C32" s="114"/>
      <c r="D32" s="121"/>
      <c r="E32" s="121"/>
      <c r="F32" s="133"/>
      <c r="G32" s="134"/>
      <c r="H32" s="135"/>
      <c r="I32" s="122"/>
      <c r="J32" s="123"/>
      <c r="K32" s="123"/>
      <c r="L32" s="123"/>
      <c r="M32" s="123"/>
    </row>
    <row r="33" spans="1:13" s="124" customFormat="1" ht="21" hidden="1" customHeight="1" x14ac:dyDescent="0.25">
      <c r="A33" s="140"/>
      <c r="B33" s="144"/>
      <c r="C33" s="114"/>
      <c r="D33" s="121"/>
      <c r="E33" s="121"/>
      <c r="F33" s="133"/>
      <c r="G33" s="134"/>
      <c r="H33" s="135"/>
      <c r="I33" s="122"/>
      <c r="J33" s="123"/>
      <c r="K33" s="123"/>
      <c r="L33" s="123"/>
      <c r="M33" s="123"/>
    </row>
    <row r="34" spans="1:13" s="119" customFormat="1" ht="22.5" customHeight="1" x14ac:dyDescent="0.25">
      <c r="A34" s="140"/>
      <c r="B34" s="144"/>
      <c r="C34" s="115" t="s">
        <v>114</v>
      </c>
      <c r="D34" s="116" t="s">
        <v>115</v>
      </c>
      <c r="E34" s="116" t="s">
        <v>88</v>
      </c>
      <c r="F34" s="136" t="s">
        <v>182</v>
      </c>
      <c r="G34" s="137"/>
      <c r="H34" s="138"/>
      <c r="I34" s="117"/>
      <c r="J34" s="118">
        <f>J35+J37+J38+J36</f>
        <v>1636.7860000000001</v>
      </c>
      <c r="K34" s="118">
        <f>K35+K37+K38+K36</f>
        <v>1636.7860000000001</v>
      </c>
      <c r="L34" s="118">
        <f>L35+L37+L38+L36</f>
        <v>1636.7860000000001</v>
      </c>
      <c r="M34" s="118">
        <f>M35+M37+M38+M36</f>
        <v>4910.3580000000002</v>
      </c>
    </row>
    <row r="35" spans="1:13" s="124" customFormat="1" ht="26.25" customHeight="1" x14ac:dyDescent="0.25">
      <c r="A35" s="140"/>
      <c r="B35" s="144"/>
      <c r="C35" s="114" t="s">
        <v>114</v>
      </c>
      <c r="D35" s="121" t="s">
        <v>115</v>
      </c>
      <c r="E35" s="121" t="s">
        <v>88</v>
      </c>
      <c r="F35" s="133" t="s">
        <v>182</v>
      </c>
      <c r="G35" s="134"/>
      <c r="H35" s="135"/>
      <c r="I35" s="122">
        <v>121</v>
      </c>
      <c r="J35" s="123">
        <v>1141.925</v>
      </c>
      <c r="K35" s="123">
        <v>1141.925</v>
      </c>
      <c r="L35" s="123">
        <v>1141.925</v>
      </c>
      <c r="M35" s="123">
        <f t="shared" si="1"/>
        <v>3425.7749999999996</v>
      </c>
    </row>
    <row r="36" spans="1:13" s="124" customFormat="1" ht="26.25" customHeight="1" x14ac:dyDescent="0.25">
      <c r="A36" s="140"/>
      <c r="B36" s="144"/>
      <c r="C36" s="114"/>
      <c r="D36" s="121" t="s">
        <v>115</v>
      </c>
      <c r="E36" s="121" t="s">
        <v>88</v>
      </c>
      <c r="F36" s="133" t="s">
        <v>182</v>
      </c>
      <c r="G36" s="134"/>
      <c r="H36" s="135"/>
      <c r="I36" s="122">
        <v>129</v>
      </c>
      <c r="J36" s="123">
        <v>344.86099999999999</v>
      </c>
      <c r="K36" s="123">
        <v>344.86099999999999</v>
      </c>
      <c r="L36" s="123">
        <v>344.86099999999999</v>
      </c>
      <c r="M36" s="123">
        <f t="shared" si="1"/>
        <v>1034.5830000000001</v>
      </c>
    </row>
    <row r="37" spans="1:13" s="124" customFormat="1" ht="25.5" customHeight="1" x14ac:dyDescent="0.25">
      <c r="A37" s="140"/>
      <c r="B37" s="144"/>
      <c r="C37" s="114" t="s">
        <v>114</v>
      </c>
      <c r="D37" s="121" t="s">
        <v>115</v>
      </c>
      <c r="E37" s="121" t="s">
        <v>88</v>
      </c>
      <c r="F37" s="133" t="s">
        <v>182</v>
      </c>
      <c r="G37" s="134"/>
      <c r="H37" s="135"/>
      <c r="I37" s="122">
        <v>122</v>
      </c>
      <c r="J37" s="123">
        <v>40</v>
      </c>
      <c r="K37" s="123">
        <v>40</v>
      </c>
      <c r="L37" s="123">
        <v>40</v>
      </c>
      <c r="M37" s="123">
        <f t="shared" si="1"/>
        <v>120</v>
      </c>
    </row>
    <row r="38" spans="1:13" s="124" customFormat="1" ht="28.5" customHeight="1" x14ac:dyDescent="0.25">
      <c r="A38" s="140"/>
      <c r="B38" s="144"/>
      <c r="C38" s="114" t="s">
        <v>114</v>
      </c>
      <c r="D38" s="121" t="s">
        <v>115</v>
      </c>
      <c r="E38" s="121" t="s">
        <v>88</v>
      </c>
      <c r="F38" s="133" t="s">
        <v>182</v>
      </c>
      <c r="G38" s="134"/>
      <c r="H38" s="135"/>
      <c r="I38" s="122">
        <v>244</v>
      </c>
      <c r="J38" s="123">
        <v>110</v>
      </c>
      <c r="K38" s="123">
        <v>110</v>
      </c>
      <c r="L38" s="81">
        <v>110</v>
      </c>
      <c r="M38" s="123">
        <f t="shared" si="1"/>
        <v>330</v>
      </c>
    </row>
    <row r="39" spans="1:13" s="119" customFormat="1" ht="28.5" customHeight="1" x14ac:dyDescent="0.25">
      <c r="A39" s="140"/>
      <c r="B39" s="144"/>
      <c r="C39" s="115" t="s">
        <v>114</v>
      </c>
      <c r="D39" s="116" t="s">
        <v>115</v>
      </c>
      <c r="E39" s="116" t="s">
        <v>88</v>
      </c>
      <c r="F39" s="136" t="s">
        <v>183</v>
      </c>
      <c r="G39" s="137"/>
      <c r="H39" s="138"/>
      <c r="I39" s="117"/>
      <c r="J39" s="118">
        <f>J40+J42+J43+J41</f>
        <v>2836.009</v>
      </c>
      <c r="K39" s="118">
        <f>K40+K42+K43+K41</f>
        <v>2836.009</v>
      </c>
      <c r="L39" s="118">
        <f>L40+L42+L43+L41</f>
        <v>2836.009</v>
      </c>
      <c r="M39" s="118">
        <f>M40+M42+M43+M41</f>
        <v>8508.027</v>
      </c>
    </row>
    <row r="40" spans="1:13" s="124" customFormat="1" ht="25.5" customHeight="1" x14ac:dyDescent="0.25">
      <c r="A40" s="140"/>
      <c r="B40" s="144"/>
      <c r="C40" s="114" t="s">
        <v>114</v>
      </c>
      <c r="D40" s="121" t="s">
        <v>115</v>
      </c>
      <c r="E40" s="121" t="s">
        <v>88</v>
      </c>
      <c r="F40" s="136" t="s">
        <v>183</v>
      </c>
      <c r="G40" s="137"/>
      <c r="H40" s="138"/>
      <c r="I40" s="122">
        <v>111</v>
      </c>
      <c r="J40" s="123">
        <v>2028.425</v>
      </c>
      <c r="K40" s="123">
        <v>2028.425</v>
      </c>
      <c r="L40" s="123">
        <v>2028.425</v>
      </c>
      <c r="M40" s="81">
        <f t="shared" si="1"/>
        <v>6085.2749999999996</v>
      </c>
    </row>
    <row r="41" spans="1:13" s="124" customFormat="1" ht="25.5" customHeight="1" x14ac:dyDescent="0.25">
      <c r="A41" s="140"/>
      <c r="B41" s="144"/>
      <c r="C41" s="114"/>
      <c r="D41" s="121" t="s">
        <v>115</v>
      </c>
      <c r="E41" s="121" t="s">
        <v>88</v>
      </c>
      <c r="F41" s="136" t="s">
        <v>183</v>
      </c>
      <c r="G41" s="137"/>
      <c r="H41" s="138"/>
      <c r="I41" s="122">
        <v>119</v>
      </c>
      <c r="J41" s="123">
        <v>612.58399999999995</v>
      </c>
      <c r="K41" s="123">
        <v>612.58399999999995</v>
      </c>
      <c r="L41" s="123">
        <v>612.58399999999995</v>
      </c>
      <c r="M41" s="81">
        <f t="shared" si="1"/>
        <v>1837.752</v>
      </c>
    </row>
    <row r="42" spans="1:13" s="124" customFormat="1" ht="30" customHeight="1" x14ac:dyDescent="0.25">
      <c r="A42" s="140"/>
      <c r="B42" s="144"/>
      <c r="C42" s="114" t="s">
        <v>114</v>
      </c>
      <c r="D42" s="121" t="s">
        <v>115</v>
      </c>
      <c r="E42" s="121" t="s">
        <v>88</v>
      </c>
      <c r="F42" s="136" t="s">
        <v>183</v>
      </c>
      <c r="G42" s="137"/>
      <c r="H42" s="138"/>
      <c r="I42" s="122">
        <v>112</v>
      </c>
      <c r="J42" s="123">
        <v>5.2</v>
      </c>
      <c r="K42" s="123">
        <v>5.2</v>
      </c>
      <c r="L42" s="123">
        <v>5.2</v>
      </c>
      <c r="M42" s="81">
        <f t="shared" si="1"/>
        <v>15.600000000000001</v>
      </c>
    </row>
    <row r="43" spans="1:13" s="124" customFormat="1" ht="31.5" customHeight="1" x14ac:dyDescent="0.25">
      <c r="A43" s="140"/>
      <c r="B43" s="144"/>
      <c r="C43" s="114" t="s">
        <v>114</v>
      </c>
      <c r="D43" s="121" t="s">
        <v>115</v>
      </c>
      <c r="E43" s="121" t="s">
        <v>88</v>
      </c>
      <c r="F43" s="136" t="s">
        <v>183</v>
      </c>
      <c r="G43" s="137"/>
      <c r="H43" s="138"/>
      <c r="I43" s="122">
        <v>244</v>
      </c>
      <c r="J43" s="123">
        <v>189.8</v>
      </c>
      <c r="K43" s="123">
        <v>189.8</v>
      </c>
      <c r="L43" s="81">
        <v>189.8</v>
      </c>
      <c r="M43" s="81">
        <f t="shared" si="1"/>
        <v>569.40000000000009</v>
      </c>
    </row>
    <row r="44" spans="1:13" s="22" customFormat="1" ht="51.75" customHeight="1" x14ac:dyDescent="0.2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</row>
    <row r="45" spans="1:13" s="24" customFormat="1" ht="15.75" hidden="1" customHeight="1" x14ac:dyDescent="0.2">
      <c r="A45" s="155" t="s">
        <v>23</v>
      </c>
      <c r="B45" s="155"/>
      <c r="C45" s="155"/>
      <c r="D45" s="155"/>
      <c r="E45" s="77"/>
      <c r="F45" s="22"/>
      <c r="G45" s="22"/>
      <c r="H45" s="22"/>
      <c r="I45" s="77"/>
      <c r="J45" s="23"/>
      <c r="K45" s="23"/>
      <c r="M45" s="24" t="s">
        <v>22</v>
      </c>
    </row>
    <row r="46" spans="1:13" hidden="1" x14ac:dyDescent="0.25">
      <c r="F46" s="77"/>
      <c r="G46" s="77"/>
      <c r="H46" s="77"/>
    </row>
    <row r="47" spans="1:13" hidden="1" x14ac:dyDescent="0.25"/>
    <row r="48" spans="1:13" hidden="1" x14ac:dyDescent="0.25"/>
  </sheetData>
  <mergeCells count="59">
    <mergeCell ref="F9:H9"/>
    <mergeCell ref="A45:D45"/>
    <mergeCell ref="A6:A10"/>
    <mergeCell ref="B6:B10"/>
    <mergeCell ref="F6:H6"/>
    <mergeCell ref="F7:H7"/>
    <mergeCell ref="F10:H10"/>
    <mergeCell ref="F8:H8"/>
    <mergeCell ref="A27:A43"/>
    <mergeCell ref="B20:B26"/>
    <mergeCell ref="A2:M2"/>
    <mergeCell ref="A4:A5"/>
    <mergeCell ref="B4:B5"/>
    <mergeCell ref="C4:C5"/>
    <mergeCell ref="D4:I4"/>
    <mergeCell ref="J4:M4"/>
    <mergeCell ref="F5:H5"/>
    <mergeCell ref="B27:B43"/>
    <mergeCell ref="F37:H37"/>
    <mergeCell ref="F26:H26"/>
    <mergeCell ref="F25:H25"/>
    <mergeCell ref="A20:A26"/>
    <mergeCell ref="F22:H22"/>
    <mergeCell ref="F21:H21"/>
    <mergeCell ref="C22:C24"/>
    <mergeCell ref="A11:A19"/>
    <mergeCell ref="B11:B19"/>
    <mergeCell ref="F11:H11"/>
    <mergeCell ref="F12:H12"/>
    <mergeCell ref="F13:H13"/>
    <mergeCell ref="F17:H17"/>
    <mergeCell ref="F43:H43"/>
    <mergeCell ref="F34:H34"/>
    <mergeCell ref="F35:H35"/>
    <mergeCell ref="F41:H41"/>
    <mergeCell ref="F32:H32"/>
    <mergeCell ref="F42:H42"/>
    <mergeCell ref="F31:H31"/>
    <mergeCell ref="F38:H38"/>
    <mergeCell ref="F39:H39"/>
    <mergeCell ref="F40:H40"/>
    <mergeCell ref="F36:H36"/>
    <mergeCell ref="F33:H33"/>
    <mergeCell ref="F28:H28"/>
    <mergeCell ref="F27:H27"/>
    <mergeCell ref="F20:H20"/>
    <mergeCell ref="F23:H23"/>
    <mergeCell ref="F24:H24"/>
    <mergeCell ref="F29:H29"/>
    <mergeCell ref="A44:M44"/>
    <mergeCell ref="K1:M1"/>
    <mergeCell ref="F14:H14"/>
    <mergeCell ref="F18:H18"/>
    <mergeCell ref="F16:H16"/>
    <mergeCell ref="C13:C16"/>
    <mergeCell ref="C17:C18"/>
    <mergeCell ref="F15:H15"/>
    <mergeCell ref="F30:H30"/>
    <mergeCell ref="F19:H19"/>
  </mergeCells>
  <phoneticPr fontId="0" type="noConversion"/>
  <pageMargins left="0.32" right="0.39370078740157483" top="0.74803149606299213" bottom="0.51181102362204722" header="0.31496062992125984" footer="0.31496062992125984"/>
  <pageSetup paperSize="9" scale="59" fitToHeight="1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40"/>
  <sheetViews>
    <sheetView view="pageBreakPreview" zoomScale="60" zoomScaleNormal="75" workbookViewId="0">
      <selection activeCell="B48" sqref="B48"/>
    </sheetView>
  </sheetViews>
  <sheetFormatPr defaultRowHeight="12.75" x14ac:dyDescent="0.2"/>
  <cols>
    <col min="1" max="1" width="18.140625" style="25" customWidth="1"/>
    <col min="2" max="2" width="22.42578125" style="25" customWidth="1"/>
    <col min="3" max="3" width="27.28515625" style="25" customWidth="1"/>
    <col min="4" max="4" width="15.7109375" style="25" customWidth="1"/>
    <col min="5" max="5" width="15.85546875" style="25" customWidth="1"/>
    <col min="6" max="6" width="16.85546875" style="25" bestFit="1" customWidth="1"/>
    <col min="7" max="7" width="16.85546875" style="25" customWidth="1"/>
    <col min="8" max="10" width="13.7109375" style="25" hidden="1" customWidth="1"/>
    <col min="11" max="11" width="0" style="25" hidden="1" customWidth="1"/>
    <col min="12" max="12" width="12.140625" style="25" bestFit="1" customWidth="1"/>
    <col min="13" max="16384" width="9.140625" style="25"/>
  </cols>
  <sheetData>
    <row r="1" spans="1:12" ht="81" customHeight="1" x14ac:dyDescent="0.25">
      <c r="A1" s="16"/>
      <c r="B1" s="16"/>
      <c r="C1" s="16"/>
      <c r="D1" s="126" t="s">
        <v>185</v>
      </c>
      <c r="E1" s="126"/>
      <c r="F1" s="126"/>
      <c r="G1" s="126"/>
    </row>
    <row r="2" spans="1:12" ht="60.75" customHeight="1" x14ac:dyDescent="0.25">
      <c r="A2" s="150" t="s">
        <v>162</v>
      </c>
      <c r="B2" s="150"/>
      <c r="C2" s="150"/>
      <c r="D2" s="150"/>
      <c r="E2" s="150"/>
      <c r="F2" s="150"/>
      <c r="G2" s="150"/>
    </row>
    <row r="3" spans="1:12" ht="15.75" x14ac:dyDescent="0.25">
      <c r="A3" s="16"/>
      <c r="B3" s="16"/>
      <c r="C3" s="16"/>
      <c r="D3" s="16"/>
      <c r="E3" s="16"/>
      <c r="F3" s="16"/>
      <c r="G3" s="16"/>
    </row>
    <row r="4" spans="1:12" ht="24.75" customHeight="1" x14ac:dyDescent="0.2">
      <c r="A4" s="151" t="s">
        <v>25</v>
      </c>
      <c r="B4" s="151" t="s">
        <v>141</v>
      </c>
      <c r="C4" s="161" t="s">
        <v>64</v>
      </c>
      <c r="D4" s="151" t="s">
        <v>24</v>
      </c>
      <c r="E4" s="151"/>
      <c r="F4" s="151"/>
      <c r="G4" s="151"/>
    </row>
    <row r="5" spans="1:12" ht="57.75" customHeight="1" x14ac:dyDescent="0.2">
      <c r="A5" s="151"/>
      <c r="B5" s="151"/>
      <c r="C5" s="161"/>
      <c r="D5" s="17" t="s">
        <v>77</v>
      </c>
      <c r="E5" s="17" t="s">
        <v>170</v>
      </c>
      <c r="F5" s="17" t="s">
        <v>186</v>
      </c>
      <c r="G5" s="17" t="s">
        <v>187</v>
      </c>
    </row>
    <row r="6" spans="1:12" s="97" customFormat="1" ht="22.5" customHeight="1" x14ac:dyDescent="0.2">
      <c r="A6" s="130" t="s">
        <v>133</v>
      </c>
      <c r="B6" s="130" t="s">
        <v>161</v>
      </c>
      <c r="C6" s="91" t="s">
        <v>0</v>
      </c>
      <c r="D6" s="94">
        <f>D14+D22+D30</f>
        <v>41615.860999999997</v>
      </c>
      <c r="E6" s="94">
        <f>E14+E22+E30</f>
        <v>41615.860999999997</v>
      </c>
      <c r="F6" s="94">
        <f>F14+F22+F30</f>
        <v>41597.460999999996</v>
      </c>
      <c r="G6" s="94">
        <f>F6+E6+D6</f>
        <v>124829.18299999999</v>
      </c>
      <c r="L6" s="98"/>
    </row>
    <row r="7" spans="1:12" ht="21" customHeight="1" x14ac:dyDescent="0.2">
      <c r="A7" s="131"/>
      <c r="B7" s="131"/>
      <c r="C7" s="20" t="s">
        <v>1</v>
      </c>
      <c r="D7" s="78"/>
      <c r="E7" s="78"/>
      <c r="F7" s="78"/>
      <c r="G7" s="78"/>
    </row>
    <row r="8" spans="1:12" s="97" customFormat="1" ht="19.5" customHeight="1" x14ac:dyDescent="0.2">
      <c r="A8" s="131"/>
      <c r="B8" s="131"/>
      <c r="C8" s="91" t="s">
        <v>114</v>
      </c>
      <c r="D8" s="94">
        <f>D9+D10+D11+D12</f>
        <v>35977.857000000004</v>
      </c>
      <c r="E8" s="94">
        <f>E9+E10+E11+E12</f>
        <v>37282.578999999998</v>
      </c>
      <c r="F8" s="94">
        <f>F9+F10+F11+F12</f>
        <v>37222.078999999998</v>
      </c>
      <c r="G8" s="94">
        <f>F8+E8+D8</f>
        <v>110482.515</v>
      </c>
    </row>
    <row r="9" spans="1:12" ht="19.5" customHeight="1" x14ac:dyDescent="0.2">
      <c r="A9" s="131"/>
      <c r="B9" s="131"/>
      <c r="C9" s="20" t="s">
        <v>2</v>
      </c>
      <c r="D9" s="78">
        <f t="shared" ref="D9:G13" si="0">D17+D25+D33</f>
        <v>18.399999999999999</v>
      </c>
      <c r="E9" s="78">
        <f t="shared" si="0"/>
        <v>18.399999999999999</v>
      </c>
      <c r="F9" s="78">
        <f t="shared" si="0"/>
        <v>0</v>
      </c>
      <c r="G9" s="78">
        <f>F9+E9+D9</f>
        <v>36.799999999999997</v>
      </c>
    </row>
    <row r="10" spans="1:12" ht="22.5" customHeight="1" x14ac:dyDescent="0.2">
      <c r="A10" s="131"/>
      <c r="B10" s="131"/>
      <c r="C10" s="20" t="s">
        <v>3</v>
      </c>
      <c r="D10" s="78">
        <f t="shared" si="0"/>
        <v>0</v>
      </c>
      <c r="E10" s="78">
        <f t="shared" si="0"/>
        <v>0</v>
      </c>
      <c r="F10" s="78"/>
      <c r="G10" s="78">
        <f>F10+E10+D10</f>
        <v>0</v>
      </c>
      <c r="H10" s="26" t="e">
        <f>D10+#REF!+#REF!+#REF!+#REF!+#REF!</f>
        <v>#REF!</v>
      </c>
      <c r="I10" s="26" t="e">
        <f>E10+#REF!+#REF!+#REF!+#REF!+#REF!</f>
        <v>#REF!</v>
      </c>
      <c r="J10" s="26" t="e">
        <f>F10+#REF!+#REF!+#REF!+#REF!+#REF!</f>
        <v>#REF!</v>
      </c>
    </row>
    <row r="11" spans="1:12" ht="19.5" customHeight="1" x14ac:dyDescent="0.2">
      <c r="A11" s="131"/>
      <c r="B11" s="131"/>
      <c r="C11" s="20" t="s">
        <v>58</v>
      </c>
      <c r="D11" s="78">
        <f t="shared" si="0"/>
        <v>775</v>
      </c>
      <c r="E11" s="78">
        <f t="shared" si="0"/>
        <v>775</v>
      </c>
      <c r="F11" s="78">
        <f t="shared" si="0"/>
        <v>775</v>
      </c>
      <c r="G11" s="78">
        <f>F11+E11+D11</f>
        <v>2325</v>
      </c>
      <c r="H11" s="26" t="e">
        <f>H10-'МунПр пр1'!J6</f>
        <v>#REF!</v>
      </c>
      <c r="I11" s="26" t="e">
        <f>I10-'МунПр пр1'!K6</f>
        <v>#REF!</v>
      </c>
      <c r="J11" s="26" t="e">
        <f>J10-'МунПр пр1'!L6</f>
        <v>#REF!</v>
      </c>
    </row>
    <row r="12" spans="1:12" ht="23.25" customHeight="1" x14ac:dyDescent="0.2">
      <c r="A12" s="131"/>
      <c r="B12" s="131"/>
      <c r="C12" s="20" t="s">
        <v>139</v>
      </c>
      <c r="D12" s="78">
        <v>35184.457000000002</v>
      </c>
      <c r="E12" s="78">
        <v>36489.178999999996</v>
      </c>
      <c r="F12" s="78">
        <v>36447.078999999998</v>
      </c>
      <c r="G12" s="78">
        <f>F12+E12+D12</f>
        <v>108120.715</v>
      </c>
    </row>
    <row r="13" spans="1:12" ht="22.5" customHeight="1" x14ac:dyDescent="0.2">
      <c r="A13" s="131"/>
      <c r="B13" s="131"/>
      <c r="C13" s="20" t="s">
        <v>4</v>
      </c>
      <c r="D13" s="78">
        <f t="shared" si="0"/>
        <v>0</v>
      </c>
      <c r="E13" s="78">
        <f t="shared" si="0"/>
        <v>0</v>
      </c>
      <c r="F13" s="78">
        <f t="shared" si="0"/>
        <v>0</v>
      </c>
      <c r="G13" s="78">
        <f t="shared" si="0"/>
        <v>0</v>
      </c>
    </row>
    <row r="14" spans="1:12" s="97" customFormat="1" ht="23.25" customHeight="1" x14ac:dyDescent="0.2">
      <c r="A14" s="130" t="s">
        <v>105</v>
      </c>
      <c r="B14" s="147" t="s">
        <v>110</v>
      </c>
      <c r="C14" s="91" t="s">
        <v>0</v>
      </c>
      <c r="D14" s="94">
        <f>D16+D19</f>
        <v>21319.554</v>
      </c>
      <c r="E14" s="94">
        <f>E16+E19</f>
        <v>21319.554</v>
      </c>
      <c r="F14" s="94">
        <f>F16+F19</f>
        <v>21319.554</v>
      </c>
      <c r="G14" s="94">
        <f>F14+E14+D14</f>
        <v>63958.661999999997</v>
      </c>
    </row>
    <row r="15" spans="1:12" ht="21" customHeight="1" x14ac:dyDescent="0.2">
      <c r="A15" s="131"/>
      <c r="B15" s="148"/>
      <c r="C15" s="20" t="s">
        <v>1</v>
      </c>
      <c r="D15" s="78"/>
      <c r="E15" s="78"/>
      <c r="F15" s="78"/>
      <c r="G15" s="78">
        <f t="shared" ref="G15:G21" si="1">F15+E15+D15</f>
        <v>0</v>
      </c>
    </row>
    <row r="16" spans="1:12" ht="23.25" customHeight="1" x14ac:dyDescent="0.2">
      <c r="A16" s="131"/>
      <c r="B16" s="148"/>
      <c r="C16" s="20" t="s">
        <v>114</v>
      </c>
      <c r="D16" s="78">
        <f>D20*1</f>
        <v>20869.554</v>
      </c>
      <c r="E16" s="78">
        <f>E20*1</f>
        <v>20869.554</v>
      </c>
      <c r="F16" s="78">
        <f>F20*1</f>
        <v>20869.554</v>
      </c>
      <c r="G16" s="78">
        <f t="shared" si="1"/>
        <v>62608.661999999997</v>
      </c>
    </row>
    <row r="17" spans="1:7" ht="18.75" customHeight="1" x14ac:dyDescent="0.2">
      <c r="A17" s="131"/>
      <c r="B17" s="148"/>
      <c r="C17" s="20" t="s">
        <v>2</v>
      </c>
      <c r="D17" s="78">
        <v>0</v>
      </c>
      <c r="E17" s="78">
        <v>0</v>
      </c>
      <c r="F17" s="78">
        <v>0</v>
      </c>
      <c r="G17" s="78">
        <f t="shared" si="1"/>
        <v>0</v>
      </c>
    </row>
    <row r="18" spans="1:7" ht="21" customHeight="1" x14ac:dyDescent="0.2">
      <c r="A18" s="131"/>
      <c r="B18" s="148"/>
      <c r="C18" s="20" t="s">
        <v>3</v>
      </c>
      <c r="D18" s="78"/>
      <c r="E18" s="78"/>
      <c r="F18" s="78"/>
      <c r="G18" s="78">
        <f t="shared" si="1"/>
        <v>0</v>
      </c>
    </row>
    <row r="19" spans="1:7" ht="23.25" customHeight="1" x14ac:dyDescent="0.2">
      <c r="A19" s="131"/>
      <c r="B19" s="148"/>
      <c r="C19" s="20" t="s">
        <v>58</v>
      </c>
      <c r="D19" s="78">
        <v>450</v>
      </c>
      <c r="E19" s="78">
        <v>450</v>
      </c>
      <c r="F19" s="78">
        <v>450</v>
      </c>
      <c r="G19" s="78">
        <f t="shared" si="1"/>
        <v>1350</v>
      </c>
    </row>
    <row r="20" spans="1:7" ht="18.75" customHeight="1" x14ac:dyDescent="0.2">
      <c r="A20" s="131"/>
      <c r="B20" s="148"/>
      <c r="C20" s="20" t="s">
        <v>139</v>
      </c>
      <c r="D20" s="78">
        <v>20869.554</v>
      </c>
      <c r="E20" s="78">
        <v>20869.554</v>
      </c>
      <c r="F20" s="78">
        <v>20869.554</v>
      </c>
      <c r="G20" s="78">
        <f t="shared" si="1"/>
        <v>62608.661999999997</v>
      </c>
    </row>
    <row r="21" spans="1:7" ht="15.75" customHeight="1" x14ac:dyDescent="0.2">
      <c r="A21" s="131"/>
      <c r="B21" s="148"/>
      <c r="C21" s="20" t="s">
        <v>4</v>
      </c>
      <c r="D21" s="78">
        <v>0</v>
      </c>
      <c r="E21" s="78">
        <v>0</v>
      </c>
      <c r="F21" s="78">
        <v>0</v>
      </c>
      <c r="G21" s="78">
        <f t="shared" si="1"/>
        <v>0</v>
      </c>
    </row>
    <row r="22" spans="1:7" s="97" customFormat="1" ht="23.25" customHeight="1" x14ac:dyDescent="0.2">
      <c r="A22" s="130" t="s">
        <v>107</v>
      </c>
      <c r="B22" s="147" t="s">
        <v>109</v>
      </c>
      <c r="C22" s="91" t="s">
        <v>0</v>
      </c>
      <c r="D22" s="94">
        <f>D24</f>
        <v>15805.111999999999</v>
      </c>
      <c r="E22" s="94">
        <f>E24</f>
        <v>15805.111999999999</v>
      </c>
      <c r="F22" s="94">
        <f>F24</f>
        <v>15805.111999999999</v>
      </c>
      <c r="G22" s="94">
        <f>G24</f>
        <v>47415.335999999996</v>
      </c>
    </row>
    <row r="23" spans="1:7" ht="19.5" customHeight="1" x14ac:dyDescent="0.2">
      <c r="A23" s="131"/>
      <c r="B23" s="148"/>
      <c r="C23" s="20" t="s">
        <v>1</v>
      </c>
      <c r="D23" s="78"/>
      <c r="E23" s="78"/>
      <c r="F23" s="78"/>
      <c r="G23" s="78">
        <f t="shared" ref="G23:G28" si="2">F23+E23+D23</f>
        <v>0</v>
      </c>
    </row>
    <row r="24" spans="1:7" ht="23.25" customHeight="1" x14ac:dyDescent="0.2">
      <c r="A24" s="131"/>
      <c r="B24" s="148"/>
      <c r="C24" s="20" t="s">
        <v>114</v>
      </c>
      <c r="D24" s="78">
        <f>D27+D28</f>
        <v>15805.111999999999</v>
      </c>
      <c r="E24" s="78">
        <f>E27+E28</f>
        <v>15805.111999999999</v>
      </c>
      <c r="F24" s="78">
        <f>F27+F28</f>
        <v>15805.111999999999</v>
      </c>
      <c r="G24" s="78">
        <f>G27+G28</f>
        <v>47415.335999999996</v>
      </c>
    </row>
    <row r="25" spans="1:7" ht="22.5" customHeight="1" x14ac:dyDescent="0.2">
      <c r="A25" s="131"/>
      <c r="B25" s="148"/>
      <c r="C25" s="20" t="s">
        <v>2</v>
      </c>
      <c r="D25" s="78"/>
      <c r="E25" s="78"/>
      <c r="F25" s="78"/>
      <c r="G25" s="78">
        <f t="shared" si="2"/>
        <v>0</v>
      </c>
    </row>
    <row r="26" spans="1:7" ht="19.5" customHeight="1" x14ac:dyDescent="0.2">
      <c r="A26" s="131"/>
      <c r="B26" s="148"/>
      <c r="C26" s="20" t="s">
        <v>3</v>
      </c>
      <c r="D26" s="78"/>
      <c r="E26" s="78"/>
      <c r="F26" s="78"/>
      <c r="G26" s="78">
        <f t="shared" si="2"/>
        <v>0</v>
      </c>
    </row>
    <row r="27" spans="1:7" ht="23.25" customHeight="1" x14ac:dyDescent="0.2">
      <c r="A27" s="131"/>
      <c r="B27" s="148"/>
      <c r="C27" s="20" t="s">
        <v>58</v>
      </c>
      <c r="D27" s="78">
        <v>325</v>
      </c>
      <c r="E27" s="78">
        <v>325</v>
      </c>
      <c r="F27" s="78">
        <v>325</v>
      </c>
      <c r="G27" s="78">
        <f t="shared" si="2"/>
        <v>975</v>
      </c>
    </row>
    <row r="28" spans="1:7" ht="19.5" customHeight="1" x14ac:dyDescent="0.2">
      <c r="A28" s="131"/>
      <c r="B28" s="148"/>
      <c r="C28" s="20" t="s">
        <v>139</v>
      </c>
      <c r="D28" s="78">
        <v>15480.111999999999</v>
      </c>
      <c r="E28" s="78">
        <v>15480.111999999999</v>
      </c>
      <c r="F28" s="78">
        <v>15480.111999999999</v>
      </c>
      <c r="G28" s="78">
        <f t="shared" si="2"/>
        <v>46440.335999999996</v>
      </c>
    </row>
    <row r="29" spans="1:7" ht="19.5" customHeight="1" x14ac:dyDescent="0.2">
      <c r="A29" s="132"/>
      <c r="B29" s="149"/>
      <c r="C29" s="20" t="s">
        <v>4</v>
      </c>
      <c r="D29" s="78">
        <v>0</v>
      </c>
      <c r="E29" s="78">
        <v>0</v>
      </c>
      <c r="F29" s="78">
        <v>0</v>
      </c>
      <c r="G29" s="78">
        <f>D29+E29+F29</f>
        <v>0</v>
      </c>
    </row>
    <row r="30" spans="1:7" s="97" customFormat="1" ht="23.25" customHeight="1" x14ac:dyDescent="0.2">
      <c r="A30" s="130" t="s">
        <v>108</v>
      </c>
      <c r="B30" s="158" t="s">
        <v>142</v>
      </c>
      <c r="C30" s="91" t="s">
        <v>0</v>
      </c>
      <c r="D30" s="94">
        <f>D32+D35</f>
        <v>4491.1949999999997</v>
      </c>
      <c r="E30" s="94">
        <f>E32+E35</f>
        <v>4491.1949999999997</v>
      </c>
      <c r="F30" s="94">
        <f>F32+F35</f>
        <v>4472.7950000000001</v>
      </c>
      <c r="G30" s="94">
        <f>F30+E30+D30</f>
        <v>13455.184999999999</v>
      </c>
    </row>
    <row r="31" spans="1:7" ht="22.5" customHeight="1" x14ac:dyDescent="0.2">
      <c r="A31" s="131"/>
      <c r="B31" s="159"/>
      <c r="C31" s="20" t="s">
        <v>1</v>
      </c>
      <c r="D31" s="78"/>
      <c r="E31" s="78"/>
      <c r="F31" s="78"/>
      <c r="G31" s="78">
        <f t="shared" ref="G31:G37" si="3">F31+E31+D31</f>
        <v>0</v>
      </c>
    </row>
    <row r="32" spans="1:7" ht="21" customHeight="1" x14ac:dyDescent="0.2">
      <c r="A32" s="131"/>
      <c r="B32" s="159"/>
      <c r="C32" s="20" t="s">
        <v>114</v>
      </c>
      <c r="D32" s="78">
        <f>D33+D34+D35+D36+D37</f>
        <v>4491.1949999999997</v>
      </c>
      <c r="E32" s="78">
        <f>E33+E34+E35+E36+E37</f>
        <v>4491.1949999999997</v>
      </c>
      <c r="F32" s="78">
        <f>F33+F34+F35+F36+F37</f>
        <v>4472.7950000000001</v>
      </c>
      <c r="G32" s="78">
        <f t="shared" si="3"/>
        <v>13455.184999999999</v>
      </c>
    </row>
    <row r="33" spans="1:9" ht="19.5" customHeight="1" x14ac:dyDescent="0.2">
      <c r="A33" s="131"/>
      <c r="B33" s="159"/>
      <c r="C33" s="20" t="s">
        <v>2</v>
      </c>
      <c r="D33" s="78">
        <v>18.399999999999999</v>
      </c>
      <c r="E33" s="78">
        <v>18.399999999999999</v>
      </c>
      <c r="F33" s="78"/>
      <c r="G33" s="78">
        <f t="shared" si="3"/>
        <v>36.799999999999997</v>
      </c>
    </row>
    <row r="34" spans="1:9" ht="21" customHeight="1" x14ac:dyDescent="0.2">
      <c r="A34" s="131"/>
      <c r="B34" s="159"/>
      <c r="C34" s="20" t="s">
        <v>3</v>
      </c>
      <c r="D34" s="78"/>
      <c r="E34" s="78"/>
      <c r="F34" s="78"/>
      <c r="G34" s="78">
        <f t="shared" si="3"/>
        <v>0</v>
      </c>
    </row>
    <row r="35" spans="1:9" ht="26.25" customHeight="1" x14ac:dyDescent="0.2">
      <c r="A35" s="131"/>
      <c r="B35" s="159"/>
      <c r="C35" s="20" t="s">
        <v>58</v>
      </c>
      <c r="D35" s="78"/>
      <c r="E35" s="78"/>
      <c r="F35" s="78"/>
      <c r="G35" s="78">
        <f t="shared" si="3"/>
        <v>0</v>
      </c>
    </row>
    <row r="36" spans="1:9" ht="24.75" customHeight="1" x14ac:dyDescent="0.2">
      <c r="A36" s="131"/>
      <c r="B36" s="159"/>
      <c r="C36" s="20" t="s">
        <v>139</v>
      </c>
      <c r="D36" s="78">
        <v>4472.7950000000001</v>
      </c>
      <c r="E36" s="78">
        <v>4472.7950000000001</v>
      </c>
      <c r="F36" s="78">
        <v>4472.7950000000001</v>
      </c>
      <c r="G36" s="78">
        <v>4472.7950000000001</v>
      </c>
    </row>
    <row r="37" spans="1:9" ht="21" customHeight="1" x14ac:dyDescent="0.2">
      <c r="A37" s="132"/>
      <c r="B37" s="160"/>
      <c r="C37" s="20" t="s">
        <v>4</v>
      </c>
      <c r="D37" s="78">
        <v>0</v>
      </c>
      <c r="E37" s="78">
        <v>0</v>
      </c>
      <c r="F37" s="78">
        <v>0</v>
      </c>
      <c r="G37" s="78">
        <f t="shared" si="3"/>
        <v>0</v>
      </c>
    </row>
    <row r="38" spans="1:9" ht="39.950000000000003" hidden="1" customHeight="1" x14ac:dyDescent="0.2">
      <c r="A38" s="27"/>
      <c r="B38" s="1"/>
      <c r="C38" s="28"/>
      <c r="D38" s="29"/>
      <c r="E38" s="29"/>
      <c r="F38" s="29"/>
      <c r="G38" s="29"/>
    </row>
    <row r="39" spans="1:9" ht="39.950000000000003" hidden="1" customHeight="1" x14ac:dyDescent="0.2"/>
    <row r="40" spans="1:9" ht="39.950000000000003" customHeight="1" x14ac:dyDescent="0.2">
      <c r="A40" s="156"/>
      <c r="B40" s="156"/>
      <c r="C40" s="156"/>
      <c r="D40" s="156"/>
      <c r="E40" s="22"/>
      <c r="F40" s="157"/>
      <c r="G40" s="157"/>
      <c r="H40" s="157" t="s">
        <v>95</v>
      </c>
      <c r="I40" s="157"/>
    </row>
  </sheetData>
  <autoFilter ref="A5:J37"/>
  <mergeCells count="17">
    <mergeCell ref="B6:B13"/>
    <mergeCell ref="A6:A13"/>
    <mergeCell ref="B14:B21"/>
    <mergeCell ref="A14:A21"/>
    <mergeCell ref="D1:G1"/>
    <mergeCell ref="A2:G2"/>
    <mergeCell ref="A4:A5"/>
    <mergeCell ref="B4:B5"/>
    <mergeCell ref="C4:C5"/>
    <mergeCell ref="D4:G4"/>
    <mergeCell ref="A40:D40"/>
    <mergeCell ref="H40:I40"/>
    <mergeCell ref="F40:G40"/>
    <mergeCell ref="B22:B29"/>
    <mergeCell ref="A22:A29"/>
    <mergeCell ref="B30:B37"/>
    <mergeCell ref="A30:A37"/>
  </mergeCells>
  <phoneticPr fontId="0" type="noConversion"/>
  <pageMargins left="0.28999999999999998" right="0.45" top="0.74803149606299213" bottom="0.74803149606299213" header="0.31496062992125984" footer="0.31496062992125984"/>
  <pageSetup paperSize="9" scale="73" fitToHeight="1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S125"/>
  <sheetViews>
    <sheetView tabSelected="1" view="pageBreakPreview" zoomScale="70" zoomScaleNormal="85" zoomScaleSheetLayoutView="70" workbookViewId="0">
      <selection activeCell="B1" sqref="B1:C65536"/>
    </sheetView>
  </sheetViews>
  <sheetFormatPr defaultRowHeight="18.75" outlineLevelRow="1" x14ac:dyDescent="0.2"/>
  <cols>
    <col min="1" max="1" width="46.140625" style="71" customWidth="1"/>
    <col min="2" max="6" width="11.140625" style="32" customWidth="1"/>
    <col min="7" max="10" width="13.42578125" style="32" customWidth="1"/>
    <col min="11" max="11" width="16.85546875" style="32" customWidth="1"/>
    <col min="12" max="12" width="15.5703125" style="32" hidden="1" customWidth="1"/>
    <col min="13" max="13" width="17.5703125" style="32" hidden="1" customWidth="1"/>
    <col min="14" max="14" width="14.28515625" style="32" hidden="1" customWidth="1"/>
    <col min="15" max="15" width="13.140625" style="32" hidden="1" customWidth="1"/>
    <col min="16" max="16" width="10.140625" style="32" hidden="1" customWidth="1"/>
    <col min="17" max="17" width="11.28515625" style="32" hidden="1" customWidth="1"/>
    <col min="18" max="18" width="12.85546875" style="32" hidden="1" customWidth="1"/>
    <col min="19" max="19" width="10.140625" style="32" hidden="1" customWidth="1"/>
    <col min="20" max="23" width="0" style="32" hidden="1" customWidth="1"/>
    <col min="24" max="16384" width="9.140625" style="32"/>
  </cols>
  <sheetData>
    <row r="1" spans="1:15" s="30" customFormat="1" ht="62.25" customHeight="1" x14ac:dyDescent="0.3">
      <c r="A1" s="63"/>
      <c r="F1" s="167" t="s">
        <v>201</v>
      </c>
      <c r="G1" s="167"/>
      <c r="H1" s="167"/>
      <c r="I1" s="167"/>
      <c r="J1" s="167"/>
      <c r="K1" s="167"/>
    </row>
    <row r="2" spans="1:15" ht="39.75" customHeight="1" x14ac:dyDescent="0.2">
      <c r="A2" s="170" t="s">
        <v>140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4" spans="1:15" s="31" customFormat="1" ht="57" customHeight="1" x14ac:dyDescent="0.2">
      <c r="A4" s="171" t="s">
        <v>57</v>
      </c>
      <c r="B4" s="172" t="s">
        <v>56</v>
      </c>
      <c r="C4" s="172"/>
      <c r="D4" s="172"/>
      <c r="E4" s="172"/>
      <c r="F4" s="172"/>
      <c r="G4" s="172" t="s">
        <v>163</v>
      </c>
      <c r="H4" s="172"/>
      <c r="I4" s="172"/>
      <c r="J4" s="172"/>
      <c r="K4" s="172"/>
    </row>
    <row r="5" spans="1:15" x14ac:dyDescent="0.2">
      <c r="A5" s="171"/>
      <c r="B5" s="33" t="s">
        <v>75</v>
      </c>
      <c r="C5" s="33" t="s">
        <v>76</v>
      </c>
      <c r="D5" s="33" t="s">
        <v>77</v>
      </c>
      <c r="E5" s="33" t="s">
        <v>170</v>
      </c>
      <c r="F5" s="33" t="s">
        <v>186</v>
      </c>
      <c r="G5" s="33" t="s">
        <v>75</v>
      </c>
      <c r="H5" s="33" t="s">
        <v>76</v>
      </c>
      <c r="I5" s="33" t="s">
        <v>77</v>
      </c>
      <c r="J5" s="33" t="s">
        <v>170</v>
      </c>
      <c r="K5" s="33" t="s">
        <v>186</v>
      </c>
    </row>
    <row r="6" spans="1:15" ht="42.75" customHeight="1" x14ac:dyDescent="0.3">
      <c r="A6" s="168" t="s">
        <v>152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</row>
    <row r="7" spans="1:15" x14ac:dyDescent="0.3">
      <c r="A7" s="169" t="s">
        <v>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</row>
    <row r="8" spans="1:15" ht="37.5" x14ac:dyDescent="0.2">
      <c r="A8" s="64" t="s">
        <v>154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5" ht="31.5" x14ac:dyDescent="0.2">
      <c r="A9" s="65" t="s">
        <v>113</v>
      </c>
      <c r="B9" s="34">
        <v>10000</v>
      </c>
      <c r="C9" s="34">
        <v>10000</v>
      </c>
      <c r="D9" s="34">
        <v>10000</v>
      </c>
      <c r="E9" s="34">
        <v>10000</v>
      </c>
      <c r="F9" s="34">
        <v>10000</v>
      </c>
      <c r="G9" s="82">
        <v>8484.8070000000007</v>
      </c>
      <c r="H9" s="83">
        <v>10405.767</v>
      </c>
      <c r="I9" s="83">
        <v>11210.115</v>
      </c>
      <c r="J9" s="83">
        <v>11210.115</v>
      </c>
      <c r="K9" s="83">
        <v>11210.115</v>
      </c>
      <c r="L9" s="32" t="s">
        <v>6</v>
      </c>
    </row>
    <row r="10" spans="1:15" hidden="1" outlineLevel="1" x14ac:dyDescent="0.2">
      <c r="A10" s="64" t="s">
        <v>7</v>
      </c>
      <c r="B10" s="34">
        <f>306834</f>
        <v>306834</v>
      </c>
      <c r="C10" s="34">
        <f>311000</f>
        <v>311000</v>
      </c>
      <c r="D10" s="34">
        <v>311000</v>
      </c>
      <c r="E10" s="34">
        <v>311000</v>
      </c>
      <c r="F10" s="34">
        <f>E10</f>
        <v>311000</v>
      </c>
      <c r="G10" s="34">
        <f>44336.6</f>
        <v>44336.6</v>
      </c>
      <c r="H10" s="36">
        <v>63645.2</v>
      </c>
      <c r="I10" s="37">
        <f>61280.2+9557</f>
        <v>70837.2</v>
      </c>
      <c r="J10" s="37">
        <f>62858.9+12321.2</f>
        <v>75180.100000000006</v>
      </c>
      <c r="K10" s="34">
        <f>62858.9+12321.2</f>
        <v>75180.100000000006</v>
      </c>
      <c r="M10" s="32">
        <f>10869.9+M75+M44</f>
        <v>9557</v>
      </c>
      <c r="N10" s="38">
        <f>13640.4+N75+N44</f>
        <v>12321.199999999999</v>
      </c>
      <c r="O10" s="32">
        <f>13640.4+O75+O44</f>
        <v>12321.199999999999</v>
      </c>
    </row>
    <row r="11" spans="1:15" hidden="1" outlineLevel="1" x14ac:dyDescent="0.2">
      <c r="A11" s="64" t="s">
        <v>8</v>
      </c>
      <c r="B11" s="34">
        <f>321437</f>
        <v>321437</v>
      </c>
      <c r="C11" s="34">
        <f>304828</f>
        <v>304828</v>
      </c>
      <c r="D11" s="34">
        <f>304830</f>
        <v>304830</v>
      </c>
      <c r="E11" s="34">
        <f>304830</f>
        <v>304830</v>
      </c>
      <c r="F11" s="34">
        <f>E11</f>
        <v>304830</v>
      </c>
      <c r="G11" s="34">
        <f>44336.6+55573.2</f>
        <v>99909.799999999988</v>
      </c>
      <c r="H11" s="37">
        <v>45350.3</v>
      </c>
      <c r="I11" s="37">
        <f>48529.1+9667.8</f>
        <v>58196.899999999994</v>
      </c>
      <c r="J11" s="37">
        <f>49182+11977.2</f>
        <v>61159.199999999997</v>
      </c>
      <c r="K11" s="34">
        <f>J11</f>
        <v>61159.199999999997</v>
      </c>
      <c r="M11" s="32">
        <f>[14]индексация!E29+M45</f>
        <v>9667.8000000000011</v>
      </c>
      <c r="N11" s="32">
        <f>[14]индексация!F29+N45</f>
        <v>11977.2</v>
      </c>
      <c r="O11" s="32">
        <f>[14]индексация!G29+O45</f>
        <v>11977.2</v>
      </c>
    </row>
    <row r="12" spans="1:15" ht="38.25" customHeight="1" collapsed="1" x14ac:dyDescent="0.3">
      <c r="A12" s="166" t="s">
        <v>9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</row>
    <row r="13" spans="1:15" ht="26.25" customHeight="1" x14ac:dyDescent="0.3">
      <c r="A13" s="165" t="s">
        <v>5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</row>
    <row r="14" spans="1:15" ht="37.5" x14ac:dyDescent="0.2">
      <c r="A14" s="64" t="s">
        <v>155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5" ht="31.5" x14ac:dyDescent="0.2">
      <c r="A15" s="65" t="s">
        <v>118</v>
      </c>
      <c r="B15" s="34">
        <v>3605</v>
      </c>
      <c r="C15" s="34">
        <v>3605</v>
      </c>
      <c r="D15" s="34">
        <v>3605</v>
      </c>
      <c r="E15" s="34">
        <v>3610</v>
      </c>
      <c r="F15" s="34">
        <v>3610</v>
      </c>
      <c r="G15" s="83">
        <v>243.28200000000001</v>
      </c>
      <c r="H15" s="83">
        <v>294.81</v>
      </c>
      <c r="I15" s="83">
        <v>305.78300000000002</v>
      </c>
      <c r="J15" s="83">
        <v>305.78300000000002</v>
      </c>
      <c r="K15" s="83">
        <v>305.78300000000002</v>
      </c>
      <c r="L15" s="32" t="s">
        <v>10</v>
      </c>
      <c r="M15" s="32">
        <f>34743.3-115</f>
        <v>34628.300000000003</v>
      </c>
      <c r="N15" s="32">
        <f>42166.6-115</f>
        <v>42051.6</v>
      </c>
      <c r="O15" s="32">
        <f>42166.6-115</f>
        <v>42051.6</v>
      </c>
    </row>
    <row r="16" spans="1:15" ht="45.75" hidden="1" customHeight="1" outlineLevel="1" x14ac:dyDescent="0.25">
      <c r="A16" s="66" t="s">
        <v>11</v>
      </c>
      <c r="B16" s="34">
        <f>[15]музеи!$E$135</f>
        <v>250970</v>
      </c>
      <c r="C16" s="34">
        <v>251000</v>
      </c>
      <c r="D16" s="39">
        <v>253.4</v>
      </c>
      <c r="E16" s="40">
        <v>258.5</v>
      </c>
      <c r="F16" s="40">
        <v>261.10000000000002</v>
      </c>
      <c r="G16" s="34"/>
      <c r="H16" s="37"/>
      <c r="I16" s="37"/>
      <c r="J16" s="37"/>
      <c r="K16" s="34"/>
      <c r="M16" s="32">
        <v>-5688.2999999999993</v>
      </c>
      <c r="N16" s="32">
        <v>-6088.2999999999993</v>
      </c>
      <c r="O16" s="32">
        <v>-7684.9</v>
      </c>
    </row>
    <row r="17" spans="1:18" ht="30.75" hidden="1" customHeight="1" outlineLevel="1" x14ac:dyDescent="0.25">
      <c r="A17" s="66" t="s">
        <v>12</v>
      </c>
      <c r="B17" s="34">
        <v>21461</v>
      </c>
      <c r="C17" s="34">
        <v>16500</v>
      </c>
      <c r="D17" s="41">
        <v>21.7</v>
      </c>
      <c r="E17" s="40">
        <v>22.1</v>
      </c>
      <c r="F17" s="40">
        <v>22.3</v>
      </c>
      <c r="G17" s="34"/>
      <c r="H17" s="37"/>
      <c r="I17" s="37"/>
      <c r="J17" s="37"/>
      <c r="K17" s="34"/>
    </row>
    <row r="18" spans="1:18" ht="45" hidden="1" outlineLevel="1" x14ac:dyDescent="0.25">
      <c r="A18" s="66" t="s">
        <v>13</v>
      </c>
      <c r="B18" s="34">
        <v>298000</v>
      </c>
      <c r="C18" s="34">
        <f>300000-17000</f>
        <v>283000</v>
      </c>
      <c r="D18" s="39">
        <v>302.94</v>
      </c>
      <c r="E18" s="40">
        <v>309</v>
      </c>
      <c r="F18" s="40">
        <v>312.10000000000002</v>
      </c>
      <c r="G18" s="34"/>
      <c r="H18" s="37"/>
      <c r="I18" s="37"/>
      <c r="J18" s="37"/>
      <c r="K18" s="34"/>
    </row>
    <row r="19" spans="1:18" ht="45" hidden="1" outlineLevel="1" x14ac:dyDescent="0.25">
      <c r="A19" s="66" t="s">
        <v>14</v>
      </c>
      <c r="B19" s="34">
        <v>300100</v>
      </c>
      <c r="C19" s="34">
        <v>300200</v>
      </c>
      <c r="D19" s="39">
        <v>327.8</v>
      </c>
      <c r="E19" s="40">
        <v>334.4</v>
      </c>
      <c r="F19" s="40">
        <v>337.7</v>
      </c>
      <c r="G19" s="34"/>
      <c r="H19" s="37"/>
      <c r="I19" s="37"/>
      <c r="J19" s="37"/>
      <c r="K19" s="34"/>
    </row>
    <row r="20" spans="1:18" ht="45" hidden="1" outlineLevel="1" x14ac:dyDescent="0.25">
      <c r="A20" s="66" t="s">
        <v>15</v>
      </c>
      <c r="B20" s="34">
        <v>22432</v>
      </c>
      <c r="C20" s="34">
        <v>21900</v>
      </c>
      <c r="D20" s="39">
        <v>22.4</v>
      </c>
      <c r="E20" s="40">
        <v>22.8</v>
      </c>
      <c r="F20" s="40">
        <v>23</v>
      </c>
      <c r="G20" s="34"/>
      <c r="H20" s="37"/>
      <c r="I20" s="37"/>
      <c r="J20" s="37"/>
      <c r="K20" s="34"/>
    </row>
    <row r="21" spans="1:18" ht="41.25" customHeight="1" collapsed="1" x14ac:dyDescent="0.2">
      <c r="A21" s="162" t="s">
        <v>144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4"/>
    </row>
    <row r="22" spans="1:18" ht="18.75" customHeight="1" x14ac:dyDescent="0.3">
      <c r="A22" s="165" t="s">
        <v>148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</row>
    <row r="23" spans="1:18" ht="45" customHeight="1" x14ac:dyDescent="0.2">
      <c r="A23" s="64" t="s">
        <v>156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</row>
    <row r="24" spans="1:18" ht="34.5" customHeight="1" x14ac:dyDescent="0.2">
      <c r="A24" s="65" t="s">
        <v>149</v>
      </c>
      <c r="B24" s="34">
        <v>55905</v>
      </c>
      <c r="C24" s="34">
        <v>55905</v>
      </c>
      <c r="D24" s="34">
        <v>55905</v>
      </c>
      <c r="E24" s="34">
        <v>55905</v>
      </c>
      <c r="F24" s="34">
        <v>55905</v>
      </c>
      <c r="G24" s="34">
        <v>1711.5319999999999</v>
      </c>
      <c r="H24" s="34">
        <v>2084.6460000000002</v>
      </c>
      <c r="I24" s="34">
        <v>1976.46</v>
      </c>
      <c r="J24" s="34">
        <v>1976.46</v>
      </c>
      <c r="K24" s="34">
        <v>1976.45</v>
      </c>
    </row>
    <row r="25" spans="1:18" hidden="1" outlineLevel="1" x14ac:dyDescent="0.2">
      <c r="A25" s="64" t="s">
        <v>7</v>
      </c>
      <c r="B25" s="46">
        <v>499884</v>
      </c>
      <c r="C25" s="46">
        <f>'[16]прил. 1 2013-2015 (в прик.(уто)'!$D$12+'[16]прил. 1 2013-2015 (в прик.(уто)'!$D$13+'[16]прил. 1 2013-2015 (в прик.(уто)'!$D$14+'[16]прил. 1 2013-2015 (в прик.(уто)'!$D$15+'[16]прил. 1 2013-2015 (в прик.(уто)'!$D$16</f>
        <v>462544</v>
      </c>
      <c r="D25" s="46">
        <v>501470</v>
      </c>
      <c r="E25" s="46">
        <v>513413</v>
      </c>
      <c r="F25" s="46">
        <v>520713</v>
      </c>
      <c r="G25" s="42">
        <v>359205.9</v>
      </c>
      <c r="H25" s="42">
        <v>404618.4</v>
      </c>
      <c r="I25" s="42">
        <f>376402.4+61431.8</f>
        <v>437834.2</v>
      </c>
      <c r="J25" s="42">
        <f>380458.8+76201.5</f>
        <v>456660.3</v>
      </c>
      <c r="K25" s="42">
        <f>J25</f>
        <v>456660.3</v>
      </c>
      <c r="L25" s="32" t="s">
        <v>17</v>
      </c>
      <c r="M25" s="32">
        <f>[14]индексация!E47+[14]индексация!T47+M91</f>
        <v>60695.200000000012</v>
      </c>
      <c r="N25" s="32">
        <f>[14]индексация!F47+[14]индексация!U47+N91</f>
        <v>75426.999999999985</v>
      </c>
      <c r="O25" s="32">
        <f>[14]индексация!G47+[14]индексация!V47-774.5</f>
        <v>75426.999999999985</v>
      </c>
    </row>
    <row r="26" spans="1:18" hidden="1" outlineLevel="1" x14ac:dyDescent="0.2">
      <c r="A26" s="64" t="s">
        <v>8</v>
      </c>
      <c r="B26" s="46">
        <v>265234</v>
      </c>
      <c r="C26" s="46">
        <f>'[16]прил. 1 2013-2015 (в прик.(уто)'!$D$17+'[16]прил. 1 2013-2015 (в прик.(уто)'!$D$18+'[16]прил. 1 2013-2015 (в прик.(уто)'!$D$19+'[16]прил. 1 2013-2015 (в прик.(уто)'!$D$20</f>
        <v>257761</v>
      </c>
      <c r="D26" s="46">
        <v>260200</v>
      </c>
      <c r="E26" s="46">
        <v>258361</v>
      </c>
      <c r="F26" s="46">
        <v>258811</v>
      </c>
      <c r="G26" s="42">
        <v>123882.5</v>
      </c>
      <c r="H26" s="42">
        <v>160305.9</v>
      </c>
      <c r="I26" s="42">
        <f>122611.7+M26</f>
        <v>150225.60000000001</v>
      </c>
      <c r="J26" s="42">
        <f>124013.8+N26</f>
        <v>159113.79999999999</v>
      </c>
      <c r="K26" s="42">
        <f>J26</f>
        <v>159113.79999999999</v>
      </c>
      <c r="L26" s="32" t="s">
        <v>17</v>
      </c>
      <c r="M26" s="32">
        <f>28882.8-1294.6-M92</f>
        <v>27613.9</v>
      </c>
      <c r="N26" s="32">
        <f>36249.7-1177.5-N92</f>
        <v>35100</v>
      </c>
      <c r="O26" s="32">
        <f>36249.7-1177.5-O92</f>
        <v>35100</v>
      </c>
    </row>
    <row r="27" spans="1:18" ht="21.75" customHeight="1" collapsed="1" x14ac:dyDescent="0.3">
      <c r="A27" s="166" t="s">
        <v>145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8" x14ac:dyDescent="0.3">
      <c r="A28" s="165" t="s">
        <v>16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8" ht="37.5" x14ac:dyDescent="0.2">
      <c r="A29" s="64" t="s">
        <v>157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8" ht="39" customHeight="1" x14ac:dyDescent="0.2">
      <c r="A30" s="65" t="s">
        <v>150</v>
      </c>
      <c r="B30" s="46">
        <v>6</v>
      </c>
      <c r="C30" s="46">
        <v>6</v>
      </c>
      <c r="D30" s="46">
        <v>6</v>
      </c>
      <c r="E30" s="46">
        <v>6</v>
      </c>
      <c r="F30" s="46">
        <v>6</v>
      </c>
      <c r="G30" s="84">
        <v>5296.4459999999999</v>
      </c>
      <c r="H30" s="84">
        <v>6403.3969999999999</v>
      </c>
      <c r="I30" s="84">
        <v>7029.3090000000002</v>
      </c>
      <c r="J30" s="84">
        <v>7029.3090000000002</v>
      </c>
      <c r="K30" s="84">
        <v>7029.3090000000002</v>
      </c>
    </row>
    <row r="31" spans="1:18" ht="37.5" hidden="1" outlineLevel="1" x14ac:dyDescent="0.2">
      <c r="A31" s="65" t="s">
        <v>89</v>
      </c>
      <c r="B31" s="46">
        <v>312758</v>
      </c>
      <c r="C31" s="46">
        <f>'[17]прил. 1 2013-2015 (в прик.(уто)'!$D$21</f>
        <v>290000</v>
      </c>
      <c r="D31" s="46">
        <v>293600</v>
      </c>
      <c r="E31" s="46">
        <v>299600</v>
      </c>
      <c r="F31" s="46">
        <v>302600</v>
      </c>
      <c r="G31" s="42">
        <v>221986.6</v>
      </c>
      <c r="H31" s="42">
        <v>248804.7</v>
      </c>
      <c r="I31" s="42">
        <f>241738.4+36730.3-952.2</f>
        <v>277516.5</v>
      </c>
      <c r="J31" s="42">
        <f>246065.8+45061.4-952.2</f>
        <v>290175</v>
      </c>
      <c r="K31" s="42">
        <f>J31</f>
        <v>290175</v>
      </c>
      <c r="L31" s="32" t="s">
        <v>18</v>
      </c>
      <c r="M31" s="32">
        <v>36730.300000000003</v>
      </c>
      <c r="N31" s="32">
        <v>45061.4</v>
      </c>
      <c r="O31" s="32">
        <v>45061.4</v>
      </c>
      <c r="P31" s="32">
        <v>952.19999999999993</v>
      </c>
      <c r="Q31" s="32">
        <v>952.19999999999993</v>
      </c>
      <c r="R31" s="32">
        <v>952.19999999999993</v>
      </c>
    </row>
    <row r="32" spans="1:18" ht="31.5" hidden="1" outlineLevel="1" x14ac:dyDescent="0.2">
      <c r="A32" s="65" t="s">
        <v>89</v>
      </c>
      <c r="B32" s="46">
        <v>234070</v>
      </c>
      <c r="C32" s="46">
        <f>'[17]прил. 1 2013-2015 (в прик.(уто)'!$D$22</f>
        <v>235080</v>
      </c>
      <c r="D32" s="46">
        <f>'[17]прил. 1 2013-2015 (в прик.(уто)'!$G$22</f>
        <v>235500</v>
      </c>
      <c r="E32" s="46">
        <f>'[17]прил. 1 2013-2015 (в прик.(уто)'!$J$22</f>
        <v>235550</v>
      </c>
      <c r="F32" s="46">
        <f>E32</f>
        <v>235550</v>
      </c>
      <c r="G32" s="42">
        <v>25264</v>
      </c>
      <c r="H32" s="42">
        <v>28015.4</v>
      </c>
      <c r="I32" s="42">
        <f>29315.5+4533.6</f>
        <v>33849.1</v>
      </c>
      <c r="J32" s="42">
        <f>29845.3+5535.2</f>
        <v>35380.5</v>
      </c>
      <c r="K32" s="42">
        <f>J32</f>
        <v>35380.5</v>
      </c>
      <c r="L32" s="32" t="s">
        <v>93</v>
      </c>
      <c r="M32" s="32">
        <v>4533.6000000000004</v>
      </c>
      <c r="N32" s="32">
        <v>5535.2</v>
      </c>
      <c r="O32" s="32">
        <v>5535.2</v>
      </c>
    </row>
    <row r="33" spans="1:15" ht="40.5" customHeight="1" collapsed="1" x14ac:dyDescent="0.3">
      <c r="A33" s="166" t="s">
        <v>151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1:15" ht="23.25" customHeight="1" x14ac:dyDescent="0.3">
      <c r="A34" s="165" t="s">
        <v>50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</row>
    <row r="35" spans="1:15" ht="37.5" x14ac:dyDescent="0.2">
      <c r="A35" s="64" t="s">
        <v>157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5" ht="31.5" x14ac:dyDescent="0.2">
      <c r="A36" s="65" t="s">
        <v>149</v>
      </c>
      <c r="B36" s="34">
        <v>4</v>
      </c>
      <c r="C36" s="34">
        <v>4</v>
      </c>
      <c r="D36" s="34">
        <v>4</v>
      </c>
      <c r="E36" s="34">
        <v>4</v>
      </c>
      <c r="F36" s="34">
        <v>4</v>
      </c>
      <c r="G36" s="85">
        <v>1711.5319999999999</v>
      </c>
      <c r="H36" s="85">
        <v>2084.6460000000002</v>
      </c>
      <c r="I36" s="85">
        <v>1976.46</v>
      </c>
      <c r="J36" s="85">
        <v>1976.46</v>
      </c>
      <c r="K36" s="85">
        <v>1976.46</v>
      </c>
    </row>
    <row r="37" spans="1:15" hidden="1" x14ac:dyDescent="0.2">
      <c r="A37" s="64"/>
      <c r="B37" s="64"/>
      <c r="C37" s="64"/>
      <c r="D37" s="64"/>
      <c r="E37" s="64"/>
      <c r="F37" s="64"/>
      <c r="G37" s="64"/>
      <c r="H37" s="64" t="e">
        <f>#REF!+#REF!+H30+#REF!+H15+H9</f>
        <v>#REF!</v>
      </c>
      <c r="I37" s="64" t="e">
        <f>#REF!+#REF!+I30+#REF!+I15+I9</f>
        <v>#REF!</v>
      </c>
      <c r="J37" s="64" t="e">
        <f>#REF!+#REF!+J30+#REF!+J15+J9</f>
        <v>#REF!</v>
      </c>
      <c r="K37" s="64" t="e">
        <f>#REF!+#REF!+K30+#REF!+K15+K9</f>
        <v>#REF!</v>
      </c>
      <c r="L37" s="43">
        <f>'[18]прил. 1 2013-2015 (в прик.(уто)'!$F$42</f>
        <v>1518464.4185500001</v>
      </c>
      <c r="M37" s="35">
        <f>'[18]прил. 1 2013-2015 (в прик.(уто)'!$I$42</f>
        <v>1442214.0064999999</v>
      </c>
      <c r="N37" s="35">
        <f>'[18]прил. 1 2013-2015 (в прик.(уто)'!$L$42</f>
        <v>1466152.7714099998</v>
      </c>
    </row>
    <row r="38" spans="1:15" ht="63.75" hidden="1" x14ac:dyDescent="0.2">
      <c r="A38" s="64"/>
      <c r="B38" s="86" t="s">
        <v>19</v>
      </c>
      <c r="C38" s="86" t="s">
        <v>20</v>
      </c>
      <c r="D38" s="86" t="s">
        <v>21</v>
      </c>
      <c r="E38" s="86" t="s">
        <v>21</v>
      </c>
      <c r="F38" s="86" t="s">
        <v>21</v>
      </c>
      <c r="G38" s="86" t="s">
        <v>19</v>
      </c>
      <c r="H38" s="86" t="s">
        <v>20</v>
      </c>
      <c r="I38" s="64"/>
      <c r="J38" s="64"/>
      <c r="K38" s="64"/>
    </row>
    <row r="39" spans="1:15" hidden="1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32" t="e">
        <f>L37-H37</f>
        <v>#REF!</v>
      </c>
      <c r="M39" s="32" t="e">
        <f>M37-I37</f>
        <v>#REF!</v>
      </c>
      <c r="N39" s="32" t="e">
        <f>N37-J37</f>
        <v>#REF!</v>
      </c>
    </row>
    <row r="40" spans="1:15" ht="22.5" customHeight="1" x14ac:dyDescent="0.3">
      <c r="A40" s="173" t="s">
        <v>26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</row>
    <row r="41" spans="1:15" ht="21" customHeight="1" x14ac:dyDescent="0.3">
      <c r="A41" s="165" t="s">
        <v>52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</row>
    <row r="42" spans="1:15" ht="37.5" x14ac:dyDescent="0.2">
      <c r="A42" s="64" t="s">
        <v>155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5" ht="31.5" x14ac:dyDescent="0.2">
      <c r="A43" s="65" t="s">
        <v>113</v>
      </c>
      <c r="B43" s="34">
        <v>210204</v>
      </c>
      <c r="C43" s="34">
        <v>210204</v>
      </c>
      <c r="D43" s="34">
        <v>210204</v>
      </c>
      <c r="E43" s="34">
        <v>210204</v>
      </c>
      <c r="F43" s="34">
        <v>210204</v>
      </c>
      <c r="G43" s="83">
        <v>741.87400000000002</v>
      </c>
      <c r="H43" s="83">
        <v>909.53399999999999</v>
      </c>
      <c r="I43" s="83">
        <v>1334.537</v>
      </c>
      <c r="J43" s="83">
        <v>1334.537</v>
      </c>
      <c r="K43" s="83">
        <v>1334.537</v>
      </c>
      <c r="L43" s="32" t="s">
        <v>6</v>
      </c>
    </row>
    <row r="44" spans="1:15" hidden="1" outlineLevel="1" x14ac:dyDescent="0.2">
      <c r="A44" s="64" t="s">
        <v>7</v>
      </c>
      <c r="B44" s="34">
        <v>4022301</v>
      </c>
      <c r="C44" s="34">
        <v>4022301</v>
      </c>
      <c r="D44" s="34">
        <v>4022301</v>
      </c>
      <c r="E44" s="34">
        <v>4022301</v>
      </c>
      <c r="F44" s="34">
        <v>4022301</v>
      </c>
      <c r="G44" s="34">
        <v>24325.8</v>
      </c>
      <c r="H44" s="36">
        <v>35378.5</v>
      </c>
      <c r="I44" s="37">
        <f>37597-1236</f>
        <v>36361</v>
      </c>
      <c r="J44" s="37">
        <f>37606.9-1236</f>
        <v>36370.9</v>
      </c>
      <c r="K44" s="34">
        <f>J44</f>
        <v>36370.9</v>
      </c>
      <c r="M44" s="32">
        <v>-1236</v>
      </c>
      <c r="N44" s="32">
        <v>-1236</v>
      </c>
      <c r="O44" s="32">
        <v>-1236</v>
      </c>
    </row>
    <row r="45" spans="1:15" ht="6.75" hidden="1" customHeight="1" outlineLevel="1" x14ac:dyDescent="0.2">
      <c r="A45" s="64" t="s">
        <v>8</v>
      </c>
      <c r="B45" s="46">
        <v>736109</v>
      </c>
      <c r="C45" s="34">
        <v>729886</v>
      </c>
      <c r="D45" s="34">
        <v>732886</v>
      </c>
      <c r="E45" s="34">
        <v>735886</v>
      </c>
      <c r="F45" s="34">
        <f>E45</f>
        <v>735886</v>
      </c>
      <c r="G45" s="34">
        <v>12620.8</v>
      </c>
      <c r="H45" s="37">
        <v>12366.2</v>
      </c>
      <c r="I45" s="37">
        <f>12760.8-299.3</f>
        <v>12461.5</v>
      </c>
      <c r="J45" s="37">
        <f>13114.2-299.3</f>
        <v>12814.900000000001</v>
      </c>
      <c r="K45" s="34">
        <f>J45</f>
        <v>12814.900000000001</v>
      </c>
      <c r="M45" s="32">
        <v>-299.3</v>
      </c>
      <c r="N45" s="32">
        <v>-299.3</v>
      </c>
      <c r="O45" s="32">
        <v>-299.3</v>
      </c>
    </row>
    <row r="46" spans="1:15" collapsed="1" x14ac:dyDescent="0.3">
      <c r="A46" s="166" t="s">
        <v>27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</row>
    <row r="47" spans="1:15" x14ac:dyDescent="0.3">
      <c r="A47" s="165" t="s">
        <v>53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5" ht="37.5" x14ac:dyDescent="0.2">
      <c r="A48" s="64" t="s">
        <v>155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8" ht="31.5" x14ac:dyDescent="0.2">
      <c r="A49" s="65" t="s">
        <v>118</v>
      </c>
      <c r="B49" s="34">
        <v>2103</v>
      </c>
      <c r="C49" s="34">
        <v>2303</v>
      </c>
      <c r="D49" s="34">
        <v>2503</v>
      </c>
      <c r="E49" s="34">
        <v>2703</v>
      </c>
      <c r="F49" s="34">
        <v>2903</v>
      </c>
      <c r="G49" s="83">
        <v>77.563000000000002</v>
      </c>
      <c r="H49" s="83">
        <v>93.99</v>
      </c>
      <c r="I49" s="83">
        <v>111.229</v>
      </c>
      <c r="J49" s="83">
        <v>111.229</v>
      </c>
      <c r="K49" s="83">
        <v>111.229</v>
      </c>
      <c r="L49" s="32" t="s">
        <v>10</v>
      </c>
    </row>
    <row r="50" spans="1:18" hidden="1" outlineLevel="1" x14ac:dyDescent="0.2">
      <c r="A50" s="64" t="s">
        <v>7</v>
      </c>
      <c r="B50" s="34"/>
      <c r="C50" s="34"/>
      <c r="D50" s="34"/>
      <c r="E50" s="34"/>
      <c r="F50" s="34"/>
      <c r="G50" s="34"/>
      <c r="H50" s="36"/>
      <c r="I50" s="37"/>
      <c r="J50" s="37"/>
      <c r="K50" s="34"/>
    </row>
    <row r="51" spans="1:18" hidden="1" outlineLevel="1" x14ac:dyDescent="0.2">
      <c r="A51" s="64" t="s">
        <v>8</v>
      </c>
      <c r="B51" s="34">
        <v>459140</v>
      </c>
      <c r="C51" s="34">
        <v>459140</v>
      </c>
      <c r="D51" s="34">
        <v>459140</v>
      </c>
      <c r="E51" s="34">
        <v>459140</v>
      </c>
      <c r="F51" s="34">
        <v>459140</v>
      </c>
      <c r="G51" s="34">
        <v>15012.8</v>
      </c>
      <c r="H51" s="36">
        <v>28042.1</v>
      </c>
      <c r="I51" s="37">
        <f>32123.6-115</f>
        <v>32008.6</v>
      </c>
      <c r="J51" s="37">
        <f>31830.2-115</f>
        <v>31715.200000000001</v>
      </c>
      <c r="K51" s="34">
        <f>J51</f>
        <v>31715.200000000001</v>
      </c>
    </row>
    <row r="52" spans="1:18" ht="35.25" customHeight="1" collapsed="1" x14ac:dyDescent="0.3">
      <c r="A52" s="166" t="s">
        <v>146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</row>
    <row r="53" spans="1:18" x14ac:dyDescent="0.3">
      <c r="A53" s="165" t="s">
        <v>51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</row>
    <row r="54" spans="1:18" ht="37.5" x14ac:dyDescent="0.2">
      <c r="A54" s="64" t="s">
        <v>156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M54" s="44">
        <f>M56-I56</f>
        <v>0</v>
      </c>
      <c r="N54" s="44">
        <f>N56-J56</f>
        <v>0</v>
      </c>
      <c r="O54" s="44">
        <f>O56-K56</f>
        <v>0</v>
      </c>
    </row>
    <row r="55" spans="1:18" ht="31.5" x14ac:dyDescent="0.2">
      <c r="A55" s="65" t="s">
        <v>149</v>
      </c>
      <c r="B55" s="34">
        <v>346</v>
      </c>
      <c r="C55" s="34">
        <v>346</v>
      </c>
      <c r="D55" s="34">
        <v>346</v>
      </c>
      <c r="E55" s="34">
        <v>346</v>
      </c>
      <c r="F55" s="34">
        <v>346</v>
      </c>
      <c r="G55" s="87">
        <v>1968.739</v>
      </c>
      <c r="H55" s="87">
        <v>2397.924</v>
      </c>
      <c r="I55" s="87">
        <v>2303.8690000000001</v>
      </c>
      <c r="J55" s="87">
        <v>2303.8690000000001</v>
      </c>
      <c r="K55" s="87">
        <v>2303.8690000000001</v>
      </c>
      <c r="M55" s="44"/>
      <c r="N55" s="44"/>
      <c r="O55" s="44"/>
    </row>
    <row r="56" spans="1:18" hidden="1" x14ac:dyDescent="0.2">
      <c r="A56" s="65"/>
      <c r="B56" s="46"/>
      <c r="C56" s="46"/>
      <c r="D56" s="46"/>
      <c r="E56" s="46"/>
      <c r="F56" s="46"/>
      <c r="G56" s="87"/>
      <c r="H56" s="87"/>
      <c r="I56" s="87"/>
      <c r="J56" s="87"/>
      <c r="K56" s="87"/>
      <c r="L56" s="45"/>
      <c r="M56" s="45"/>
      <c r="N56" s="45"/>
    </row>
    <row r="57" spans="1:18" hidden="1" outlineLevel="1" x14ac:dyDescent="0.2">
      <c r="A57" s="64" t="s">
        <v>7</v>
      </c>
      <c r="B57" s="46">
        <f>3+2+6+3+9</f>
        <v>23</v>
      </c>
      <c r="C57" s="46">
        <f>2+3+3+3+2</f>
        <v>13</v>
      </c>
      <c r="D57" s="46">
        <f>2+1+2+2+1</f>
        <v>8</v>
      </c>
      <c r="E57" s="46">
        <f>2+1+2+2+1</f>
        <v>8</v>
      </c>
      <c r="F57" s="46">
        <f>2+1+2+2+1</f>
        <v>8</v>
      </c>
      <c r="G57" s="42">
        <v>34781.199999999997</v>
      </c>
      <c r="H57" s="42">
        <v>25392.6</v>
      </c>
      <c r="I57" s="42">
        <f>21924.6-3217.2</f>
        <v>18707.399999999998</v>
      </c>
      <c r="J57" s="42">
        <f>22025.8-3217.2</f>
        <v>18808.599999999999</v>
      </c>
      <c r="K57" s="42">
        <f>J57</f>
        <v>18808.599999999999</v>
      </c>
      <c r="L57" s="32" t="s">
        <v>17</v>
      </c>
      <c r="M57" s="32">
        <f>[14]индексация!T47</f>
        <v>-3217.2</v>
      </c>
      <c r="N57" s="32">
        <f>[14]индексация!U47</f>
        <v>-3217.2</v>
      </c>
      <c r="O57" s="32">
        <f>[14]индексация!V47</f>
        <v>-3217.2</v>
      </c>
      <c r="P57" s="32">
        <v>17831.5</v>
      </c>
      <c r="Q57" s="32">
        <v>17831.5</v>
      </c>
      <c r="R57" s="32">
        <v>17831.5</v>
      </c>
    </row>
    <row r="58" spans="1:18" hidden="1" outlineLevel="1" x14ac:dyDescent="0.2">
      <c r="A58" s="64" t="s">
        <v>8</v>
      </c>
      <c r="B58" s="46">
        <f>3+8+8+1</f>
        <v>20</v>
      </c>
      <c r="C58" s="46">
        <f>3+7+7+1</f>
        <v>18</v>
      </c>
      <c r="D58" s="46">
        <f>3+3+3+2+2</f>
        <v>13</v>
      </c>
      <c r="E58" s="46">
        <f>3+3+3+2+2</f>
        <v>13</v>
      </c>
      <c r="F58" s="46">
        <f>3+3+3+2+2</f>
        <v>13</v>
      </c>
      <c r="G58" s="42">
        <v>11111.7</v>
      </c>
      <c r="H58" s="42">
        <v>10120.700000000001</v>
      </c>
      <c r="I58" s="42">
        <f>10592.1+2246.8</f>
        <v>12838.900000000001</v>
      </c>
      <c r="J58" s="42">
        <f>12981.5+2129.7</f>
        <v>15111.2</v>
      </c>
      <c r="K58" s="42">
        <f>J58</f>
        <v>15111.2</v>
      </c>
      <c r="L58" s="32" t="s">
        <v>17</v>
      </c>
      <c r="M58" s="32">
        <f>[14]индексация!T33</f>
        <v>2246.8000000000002</v>
      </c>
      <c r="N58" s="32">
        <f>[14]индексация!U33</f>
        <v>2129.6999999999994</v>
      </c>
      <c r="O58" s="32">
        <f>[14]индексация!V33</f>
        <v>2129.6999999999994</v>
      </c>
      <c r="P58" s="32">
        <v>10105.4</v>
      </c>
      <c r="Q58" s="45">
        <f>N56-Q57</f>
        <v>-17831.5</v>
      </c>
      <c r="R58" s="45">
        <f>O56-R57</f>
        <v>-17831.5</v>
      </c>
    </row>
    <row r="59" spans="1:18" ht="34.5" customHeight="1" collapsed="1" x14ac:dyDescent="0.3">
      <c r="A59" s="166" t="s">
        <v>147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P59" s="44">
        <f t="shared" ref="P59:R60" si="0">P57-I57</f>
        <v>-875.89999999999782</v>
      </c>
      <c r="Q59" s="44">
        <f t="shared" si="0"/>
        <v>-977.09999999999854</v>
      </c>
      <c r="R59" s="44">
        <f t="shared" si="0"/>
        <v>-977.09999999999854</v>
      </c>
    </row>
    <row r="60" spans="1:18" x14ac:dyDescent="0.3">
      <c r="A60" s="165" t="s">
        <v>54</v>
      </c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P60" s="44">
        <f t="shared" si="0"/>
        <v>-2733.5000000000018</v>
      </c>
      <c r="Q60" s="44">
        <f t="shared" si="0"/>
        <v>-32942.699999999997</v>
      </c>
      <c r="R60" s="44">
        <f t="shared" si="0"/>
        <v>-32942.699999999997</v>
      </c>
    </row>
    <row r="61" spans="1:18" ht="37.5" x14ac:dyDescent="0.2">
      <c r="A61" s="64" t="s">
        <v>158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8" ht="31.5" x14ac:dyDescent="0.2">
      <c r="A62" s="65" t="s">
        <v>149</v>
      </c>
      <c r="B62" s="34">
        <v>2</v>
      </c>
      <c r="C62" s="34">
        <v>2</v>
      </c>
      <c r="D62" s="34">
        <v>2</v>
      </c>
      <c r="E62" s="34">
        <v>2</v>
      </c>
      <c r="F62" s="34">
        <v>2</v>
      </c>
      <c r="G62" s="34">
        <v>1190.6310000000001</v>
      </c>
      <c r="H62" s="34">
        <v>1450.489</v>
      </c>
      <c r="I62" s="34">
        <v>1312.057</v>
      </c>
      <c r="J62" s="34">
        <v>1312.057</v>
      </c>
      <c r="K62" s="34">
        <v>1312.057</v>
      </c>
    </row>
    <row r="63" spans="1:18" ht="37.5" hidden="1" outlineLevel="1" x14ac:dyDescent="0.2">
      <c r="A63" s="64" t="s">
        <v>7</v>
      </c>
      <c r="B63" s="46">
        <f>58+28</f>
        <v>86</v>
      </c>
      <c r="C63" s="46">
        <v>48</v>
      </c>
      <c r="D63" s="46">
        <v>48</v>
      </c>
      <c r="E63" s="46">
        <v>48</v>
      </c>
      <c r="F63" s="46">
        <v>48</v>
      </c>
      <c r="G63" s="42"/>
      <c r="H63" s="42"/>
      <c r="I63" s="42"/>
      <c r="J63" s="42"/>
      <c r="K63" s="42"/>
      <c r="L63" s="32" t="s">
        <v>42</v>
      </c>
    </row>
    <row r="64" spans="1:18" hidden="1" outlineLevel="1" x14ac:dyDescent="0.2">
      <c r="A64" s="64" t="s">
        <v>8</v>
      </c>
      <c r="B64" s="46"/>
      <c r="C64" s="46">
        <v>150</v>
      </c>
      <c r="D64" s="46">
        <v>150</v>
      </c>
      <c r="E64" s="46">
        <v>150</v>
      </c>
      <c r="F64" s="46">
        <v>150</v>
      </c>
      <c r="G64" s="42">
        <v>7363.3</v>
      </c>
      <c r="H64" s="42">
        <v>12420.8</v>
      </c>
      <c r="I64" s="42">
        <v>13885</v>
      </c>
      <c r="J64" s="42">
        <v>14203.8</v>
      </c>
      <c r="K64" s="42">
        <f>J64</f>
        <v>14203.8</v>
      </c>
    </row>
    <row r="65" spans="1:15" hidden="1" outlineLevel="1" x14ac:dyDescent="0.2">
      <c r="A65" s="64" t="s">
        <v>7</v>
      </c>
      <c r="B65" s="46"/>
      <c r="C65" s="46"/>
      <c r="D65" s="46"/>
      <c r="E65" s="46"/>
      <c r="F65" s="46"/>
      <c r="G65" s="42"/>
      <c r="H65" s="42"/>
      <c r="I65" s="42"/>
      <c r="J65" s="42"/>
      <c r="K65" s="42"/>
    </row>
    <row r="66" spans="1:15" hidden="1" outlineLevel="1" x14ac:dyDescent="0.2">
      <c r="A66" s="64" t="s">
        <v>8</v>
      </c>
      <c r="B66" s="46">
        <v>92</v>
      </c>
      <c r="C66" s="46">
        <v>27</v>
      </c>
      <c r="D66" s="46">
        <v>27</v>
      </c>
      <c r="E66" s="46">
        <v>27</v>
      </c>
      <c r="F66" s="46">
        <v>27</v>
      </c>
      <c r="G66" s="42">
        <v>3912.1</v>
      </c>
      <c r="H66" s="42">
        <f>'[18]прил. 2 2013-2015 (в прик. раб.'!$N$78</f>
        <v>1687.4</v>
      </c>
      <c r="I66" s="42">
        <f>'[18]прил. 2 2013-2015 (в прик. раб.'!$Q$78</f>
        <v>1763.9</v>
      </c>
      <c r="J66" s="42">
        <f>'[18]прил. 2 2013-2015 (в прик. раб.'!$T$78</f>
        <v>1807.6</v>
      </c>
      <c r="K66" s="42">
        <f>J66</f>
        <v>1807.6</v>
      </c>
      <c r="L66" s="32" t="s">
        <v>43</v>
      </c>
    </row>
    <row r="67" spans="1:15" hidden="1" outlineLevel="1" x14ac:dyDescent="0.2">
      <c r="A67" s="64" t="s">
        <v>7</v>
      </c>
      <c r="B67" s="46"/>
      <c r="C67" s="46"/>
      <c r="D67" s="46"/>
      <c r="E67" s="46"/>
      <c r="F67" s="46"/>
      <c r="G67" s="42"/>
      <c r="H67" s="42"/>
      <c r="I67" s="42"/>
      <c r="J67" s="42"/>
      <c r="K67" s="42"/>
    </row>
    <row r="68" spans="1:15" hidden="1" outlineLevel="1" x14ac:dyDescent="0.2">
      <c r="A68" s="64" t="s">
        <v>8</v>
      </c>
      <c r="B68" s="46">
        <v>5718</v>
      </c>
      <c r="C68" s="46">
        <v>4274</v>
      </c>
      <c r="D68" s="46">
        <v>4274</v>
      </c>
      <c r="E68" s="46">
        <v>4274</v>
      </c>
      <c r="F68" s="46">
        <v>4274</v>
      </c>
      <c r="G68" s="42">
        <v>15336.5</v>
      </c>
      <c r="H68" s="42">
        <f>17212</f>
        <v>17212</v>
      </c>
      <c r="I68" s="42">
        <f>18021+M68</f>
        <v>20666.8</v>
      </c>
      <c r="J68" s="42">
        <f>18356.8+N68</f>
        <v>21715.699999999997</v>
      </c>
      <c r="K68" s="42">
        <f>J68</f>
        <v>21715.699999999997</v>
      </c>
      <c r="L68" s="32" t="s">
        <v>43</v>
      </c>
      <c r="M68" s="32">
        <f>2946.4+M93</f>
        <v>2645.8</v>
      </c>
      <c r="N68" s="32">
        <f>3661.7+N93</f>
        <v>3358.8999999999996</v>
      </c>
      <c r="O68" s="32">
        <f>3661.7+O93</f>
        <v>3358.8999999999996</v>
      </c>
    </row>
    <row r="69" spans="1:15" ht="42.75" customHeight="1" collapsed="1" x14ac:dyDescent="0.3">
      <c r="A69" s="166" t="s">
        <v>28</v>
      </c>
      <c r="B69" s="165"/>
      <c r="C69" s="165"/>
      <c r="D69" s="165"/>
      <c r="E69" s="165"/>
      <c r="F69" s="165"/>
      <c r="G69" s="165"/>
      <c r="H69" s="165"/>
      <c r="I69" s="165"/>
      <c r="J69" s="165"/>
      <c r="K69" s="165"/>
    </row>
    <row r="70" spans="1:15" x14ac:dyDescent="0.3">
      <c r="A70" s="165" t="s">
        <v>50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  <row r="71" spans="1:15" ht="40.5" customHeight="1" x14ac:dyDescent="0.2">
      <c r="A71" s="64" t="s">
        <v>159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5" ht="33" customHeight="1" x14ac:dyDescent="0.2">
      <c r="A72" s="65" t="s">
        <v>149</v>
      </c>
      <c r="B72" s="34">
        <v>4</v>
      </c>
      <c r="C72" s="34">
        <v>4</v>
      </c>
      <c r="D72" s="34">
        <v>4</v>
      </c>
      <c r="E72" s="34">
        <v>4</v>
      </c>
      <c r="F72" s="34">
        <v>4</v>
      </c>
      <c r="G72" s="34">
        <v>1190.6310000000001</v>
      </c>
      <c r="H72" s="34">
        <v>1436.789</v>
      </c>
      <c r="I72" s="34">
        <v>1555.441</v>
      </c>
      <c r="J72" s="34">
        <v>1555.441</v>
      </c>
      <c r="K72" s="34">
        <v>1555.441</v>
      </c>
    </row>
    <row r="73" spans="1:15" ht="41.25" customHeight="1" x14ac:dyDescent="0.2">
      <c r="A73" s="64" t="s">
        <v>155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5" ht="31.5" x14ac:dyDescent="0.2">
      <c r="A74" s="65" t="s">
        <v>118</v>
      </c>
      <c r="B74" s="34">
        <v>37</v>
      </c>
      <c r="C74" s="34">
        <v>37</v>
      </c>
      <c r="D74" s="34">
        <v>37</v>
      </c>
      <c r="E74" s="34">
        <v>38</v>
      </c>
      <c r="F74" s="34">
        <v>38</v>
      </c>
      <c r="G74" s="83">
        <v>270.71199999999999</v>
      </c>
      <c r="H74" s="83">
        <v>322.3</v>
      </c>
      <c r="I74" s="83">
        <v>378.90699999999998</v>
      </c>
      <c r="J74" s="83">
        <v>378.90699999999998</v>
      </c>
      <c r="K74" s="83">
        <v>378.90699999999998</v>
      </c>
    </row>
    <row r="75" spans="1:15" ht="60" hidden="1" outlineLevel="1" x14ac:dyDescent="0.25">
      <c r="A75" s="67" t="s">
        <v>29</v>
      </c>
      <c r="B75" s="34">
        <v>511</v>
      </c>
      <c r="C75" s="34">
        <v>500</v>
      </c>
      <c r="D75" s="34">
        <v>503</v>
      </c>
      <c r="E75" s="34">
        <v>500</v>
      </c>
      <c r="F75" s="34">
        <v>500</v>
      </c>
      <c r="G75" s="34">
        <v>1810.8</v>
      </c>
      <c r="H75" s="36">
        <v>1041.3</v>
      </c>
      <c r="I75" s="37">
        <f>1659.9-76.9</f>
        <v>1583</v>
      </c>
      <c r="J75" s="37">
        <f>1664.9-83.2</f>
        <v>1581.7</v>
      </c>
      <c r="K75" s="34">
        <f>J75</f>
        <v>1581.7</v>
      </c>
      <c r="M75" s="32">
        <v>-76.900000000000006</v>
      </c>
      <c r="N75" s="32">
        <v>-83.2</v>
      </c>
      <c r="O75" s="32">
        <v>-83.2</v>
      </c>
    </row>
    <row r="76" spans="1:15" ht="75" hidden="1" outlineLevel="1" x14ac:dyDescent="0.25">
      <c r="A76" s="67" t="s">
        <v>30</v>
      </c>
      <c r="B76" s="34">
        <v>210</v>
      </c>
      <c r="C76" s="34">
        <v>204</v>
      </c>
      <c r="D76" s="34">
        <v>209</v>
      </c>
      <c r="E76" s="34">
        <v>209</v>
      </c>
      <c r="F76" s="34">
        <v>209</v>
      </c>
      <c r="G76" s="34">
        <v>5043.5</v>
      </c>
      <c r="H76" s="37">
        <v>2841.7</v>
      </c>
      <c r="I76" s="37">
        <f>2891.6-15.4</f>
        <v>2876.2</v>
      </c>
      <c r="J76" s="37">
        <f>2893.6-15.4</f>
        <v>2878.2</v>
      </c>
      <c r="K76" s="37">
        <f>2893.6-15.4</f>
        <v>2878.2</v>
      </c>
      <c r="M76" s="32">
        <v>-15.4</v>
      </c>
      <c r="N76" s="32">
        <v>-16.600000000000001</v>
      </c>
      <c r="O76" s="32">
        <v>-16.600000000000001</v>
      </c>
    </row>
    <row r="77" spans="1:15" ht="45" hidden="1" outlineLevel="1" x14ac:dyDescent="0.25">
      <c r="A77" s="67" t="s">
        <v>31</v>
      </c>
      <c r="B77" s="34">
        <v>405</v>
      </c>
      <c r="C77" s="34">
        <v>383</v>
      </c>
      <c r="D77" s="34">
        <v>383</v>
      </c>
      <c r="E77" s="34">
        <v>383</v>
      </c>
      <c r="F77" s="34">
        <v>383</v>
      </c>
      <c r="G77" s="34"/>
      <c r="H77" s="37">
        <v>1056.5999999999999</v>
      </c>
      <c r="I77" s="37">
        <v>783</v>
      </c>
      <c r="J77" s="37">
        <v>800.4</v>
      </c>
      <c r="K77" s="34">
        <f t="shared" ref="K77:K83" si="1">J77</f>
        <v>800.4</v>
      </c>
    </row>
    <row r="78" spans="1:15" ht="45" hidden="1" outlineLevel="1" x14ac:dyDescent="0.25">
      <c r="A78" s="67" t="s">
        <v>32</v>
      </c>
      <c r="B78" s="34">
        <v>657</v>
      </c>
      <c r="C78" s="34">
        <v>566</v>
      </c>
      <c r="D78" s="34">
        <v>572</v>
      </c>
      <c r="E78" s="34">
        <v>572</v>
      </c>
      <c r="F78" s="34">
        <v>572</v>
      </c>
      <c r="G78" s="34"/>
      <c r="H78" s="37">
        <v>1072.3</v>
      </c>
      <c r="I78" s="37">
        <v>1101.7</v>
      </c>
      <c r="J78" s="37">
        <v>922.5</v>
      </c>
      <c r="K78" s="34">
        <f t="shared" si="1"/>
        <v>922.5</v>
      </c>
    </row>
    <row r="79" spans="1:15" ht="60" hidden="1" outlineLevel="1" x14ac:dyDescent="0.25">
      <c r="A79" s="67" t="s">
        <v>11</v>
      </c>
      <c r="B79" s="34">
        <v>592</v>
      </c>
      <c r="C79" s="34">
        <v>588</v>
      </c>
      <c r="D79" s="34">
        <v>589</v>
      </c>
      <c r="E79" s="34">
        <v>590</v>
      </c>
      <c r="F79" s="34">
        <v>590</v>
      </c>
      <c r="G79" s="34">
        <v>37069.5</v>
      </c>
      <c r="H79" s="37">
        <v>6361</v>
      </c>
      <c r="I79" s="37">
        <v>6877.9</v>
      </c>
      <c r="J79" s="37">
        <v>6902.2</v>
      </c>
      <c r="K79" s="34">
        <f t="shared" si="1"/>
        <v>6902.2</v>
      </c>
    </row>
    <row r="80" spans="1:15" ht="45" hidden="1" outlineLevel="1" x14ac:dyDescent="0.25">
      <c r="A80" s="67" t="s">
        <v>12</v>
      </c>
      <c r="B80" s="34">
        <v>164</v>
      </c>
      <c r="C80" s="34">
        <v>165</v>
      </c>
      <c r="D80" s="34">
        <v>167</v>
      </c>
      <c r="E80" s="34">
        <v>169</v>
      </c>
      <c r="F80" s="34">
        <v>169</v>
      </c>
      <c r="G80" s="34"/>
      <c r="H80" s="37">
        <v>2528.9</v>
      </c>
      <c r="I80" s="37">
        <v>2745.7</v>
      </c>
      <c r="J80" s="37">
        <v>2664.8</v>
      </c>
      <c r="K80" s="34">
        <f t="shared" si="1"/>
        <v>2664.8</v>
      </c>
    </row>
    <row r="81" spans="1:18" ht="45" hidden="1" outlineLevel="1" x14ac:dyDescent="0.25">
      <c r="A81" s="67" t="s">
        <v>13</v>
      </c>
      <c r="B81" s="34">
        <v>465</v>
      </c>
      <c r="C81" s="34">
        <v>280</v>
      </c>
      <c r="D81" s="34">
        <v>290</v>
      </c>
      <c r="E81" s="34">
        <v>290</v>
      </c>
      <c r="F81" s="34">
        <v>290</v>
      </c>
      <c r="G81" s="34"/>
      <c r="H81" s="37">
        <v>3033.8</v>
      </c>
      <c r="I81" s="37">
        <v>3065.9</v>
      </c>
      <c r="J81" s="37">
        <v>3834.3</v>
      </c>
      <c r="K81" s="34">
        <f t="shared" si="1"/>
        <v>3834.3</v>
      </c>
    </row>
    <row r="82" spans="1:18" ht="45" hidden="1" outlineLevel="1" x14ac:dyDescent="0.25">
      <c r="A82" s="67" t="s">
        <v>14</v>
      </c>
      <c r="B82" s="34">
        <v>220</v>
      </c>
      <c r="C82" s="34">
        <v>220</v>
      </c>
      <c r="D82" s="34">
        <v>220</v>
      </c>
      <c r="E82" s="34">
        <v>220</v>
      </c>
      <c r="F82" s="34">
        <v>220</v>
      </c>
      <c r="G82" s="34"/>
      <c r="H82" s="37">
        <v>950</v>
      </c>
      <c r="I82" s="37">
        <v>600</v>
      </c>
      <c r="J82" s="37">
        <v>700</v>
      </c>
      <c r="K82" s="34">
        <f t="shared" si="1"/>
        <v>700</v>
      </c>
    </row>
    <row r="83" spans="1:18" ht="45" hidden="1" outlineLevel="1" x14ac:dyDescent="0.25">
      <c r="A83" s="67" t="s">
        <v>15</v>
      </c>
      <c r="B83" s="34">
        <v>99</v>
      </c>
      <c r="C83" s="34">
        <v>100</v>
      </c>
      <c r="D83" s="34">
        <v>102</v>
      </c>
      <c r="E83" s="34">
        <v>102</v>
      </c>
      <c r="F83" s="34">
        <v>102</v>
      </c>
      <c r="G83" s="34"/>
      <c r="H83" s="37">
        <v>1654.2</v>
      </c>
      <c r="I83" s="37">
        <v>1799.2</v>
      </c>
      <c r="J83" s="37">
        <v>1911</v>
      </c>
      <c r="K83" s="34">
        <f t="shared" si="1"/>
        <v>1911</v>
      </c>
    </row>
    <row r="84" spans="1:18" ht="45" hidden="1" outlineLevel="1" x14ac:dyDescent="0.25">
      <c r="A84" s="67" t="s">
        <v>33</v>
      </c>
      <c r="B84" s="88">
        <f>'[19]дома бюджет'!$E$9</f>
        <v>40</v>
      </c>
      <c r="C84" s="34">
        <v>24</v>
      </c>
      <c r="D84" s="34">
        <v>24</v>
      </c>
      <c r="E84" s="34">
        <v>24</v>
      </c>
      <c r="F84" s="34">
        <v>24</v>
      </c>
      <c r="G84" s="34"/>
      <c r="H84" s="37">
        <v>13619.9</v>
      </c>
      <c r="I84" s="37">
        <f>15511.6+4490.5</f>
        <v>20002.099999999999</v>
      </c>
      <c r="J84" s="37">
        <f>15736.5+5575.4</f>
        <v>21311.9</v>
      </c>
      <c r="K84" s="34">
        <f>J84</f>
        <v>21311.9</v>
      </c>
      <c r="M84" s="32">
        <v>4490.5</v>
      </c>
      <c r="N84" s="32">
        <v>5575.4</v>
      </c>
      <c r="O84" s="32">
        <v>5575.4</v>
      </c>
    </row>
    <row r="85" spans="1:18" ht="30" hidden="1" outlineLevel="1" x14ac:dyDescent="0.25">
      <c r="A85" s="68" t="s">
        <v>34</v>
      </c>
      <c r="B85" s="88">
        <f>'[19]дома бюджет'!$E$8</f>
        <v>200</v>
      </c>
      <c r="C85" s="34">
        <f>143+32</f>
        <v>175</v>
      </c>
      <c r="D85" s="34">
        <f>143+32</f>
        <v>175</v>
      </c>
      <c r="E85" s="34">
        <f>143+32</f>
        <v>175</v>
      </c>
      <c r="F85" s="34">
        <f>143+32</f>
        <v>175</v>
      </c>
      <c r="G85" s="34"/>
      <c r="H85" s="37">
        <v>6534.6</v>
      </c>
      <c r="I85" s="37">
        <f>7372.2+1616.8</f>
        <v>8989</v>
      </c>
      <c r="J85" s="37">
        <f>7360.3+1813.9</f>
        <v>9174.2000000000007</v>
      </c>
      <c r="K85" s="34">
        <f>J85</f>
        <v>9174.2000000000007</v>
      </c>
      <c r="M85" s="32">
        <v>1616.8</v>
      </c>
      <c r="N85" s="32">
        <v>1813.9</v>
      </c>
      <c r="O85" s="32">
        <v>1813.9</v>
      </c>
    </row>
    <row r="86" spans="1:18" ht="45" hidden="1" outlineLevel="1" x14ac:dyDescent="0.25">
      <c r="A86" s="67" t="s">
        <v>35</v>
      </c>
      <c r="B86" s="34">
        <v>7</v>
      </c>
      <c r="C86" s="34">
        <v>3</v>
      </c>
      <c r="D86" s="34">
        <v>3</v>
      </c>
      <c r="E86" s="34">
        <v>3</v>
      </c>
      <c r="F86" s="34">
        <v>3</v>
      </c>
      <c r="G86" s="34"/>
      <c r="H86" s="37">
        <v>149.69999999999999</v>
      </c>
      <c r="I86" s="37">
        <v>148.69999999999999</v>
      </c>
      <c r="J86" s="37">
        <v>192.1</v>
      </c>
      <c r="K86" s="34">
        <f>J86</f>
        <v>192.1</v>
      </c>
    </row>
    <row r="87" spans="1:18" ht="45" hidden="1" outlineLevel="1" x14ac:dyDescent="0.25">
      <c r="A87" s="67" t="s">
        <v>36</v>
      </c>
      <c r="B87" s="34">
        <v>50</v>
      </c>
      <c r="C87" s="34">
        <v>51</v>
      </c>
      <c r="D87" s="34">
        <v>42</v>
      </c>
      <c r="E87" s="34">
        <v>43</v>
      </c>
      <c r="F87" s="34">
        <v>43</v>
      </c>
      <c r="G87" s="34">
        <v>121452</v>
      </c>
      <c r="H87" s="37">
        <v>66545.8</v>
      </c>
      <c r="I87" s="37">
        <f>106758.5-3758.1+6088.3</f>
        <v>109088.7</v>
      </c>
      <c r="J87" s="37">
        <f>99805.4-4060.3-41343</f>
        <v>54402.099999999991</v>
      </c>
      <c r="K87" s="34">
        <f>99805.4-4684.2+7684.9</f>
        <v>102806.09999999999</v>
      </c>
      <c r="M87" s="32">
        <v>-3758.1</v>
      </c>
      <c r="N87" s="32">
        <v>-4060.3</v>
      </c>
      <c r="O87" s="32">
        <v>-4684.2</v>
      </c>
      <c r="P87" s="32">
        <v>6088.3</v>
      </c>
      <c r="Q87" s="32">
        <v>-41342.6</v>
      </c>
      <c r="R87" s="32">
        <v>7684.9</v>
      </c>
    </row>
    <row r="88" spans="1:18" ht="45" hidden="1" outlineLevel="1" x14ac:dyDescent="0.25">
      <c r="A88" s="67" t="s">
        <v>37</v>
      </c>
      <c r="B88" s="88">
        <f>'[19]дома бюджет'!$E$7</f>
        <v>53</v>
      </c>
      <c r="C88" s="34">
        <v>51</v>
      </c>
      <c r="D88" s="34">
        <v>51</v>
      </c>
      <c r="E88" s="34">
        <v>51</v>
      </c>
      <c r="F88" s="34">
        <v>51</v>
      </c>
      <c r="G88" s="34">
        <v>38641.800000000003</v>
      </c>
      <c r="H88" s="37">
        <v>32244.3</v>
      </c>
      <c r="I88" s="37">
        <f>32337.5-1379.2</f>
        <v>30958.3</v>
      </c>
      <c r="J88" s="37">
        <f>31818.2-1379.2</f>
        <v>30439</v>
      </c>
      <c r="K88" s="34">
        <f>J88</f>
        <v>30439</v>
      </c>
      <c r="M88" s="32">
        <v>-1379.2</v>
      </c>
      <c r="N88" s="32">
        <v>-1379.2</v>
      </c>
      <c r="O88" s="32">
        <v>-1379.2</v>
      </c>
    </row>
    <row r="89" spans="1:18" ht="60" hidden="1" outlineLevel="1" x14ac:dyDescent="0.25">
      <c r="A89" s="67" t="s">
        <v>38</v>
      </c>
      <c r="B89" s="34">
        <v>1</v>
      </c>
      <c r="C89" s="34">
        <v>1</v>
      </c>
      <c r="D89" s="34"/>
      <c r="E89" s="34"/>
      <c r="F89" s="34"/>
      <c r="G89" s="34">
        <v>2042.6</v>
      </c>
      <c r="H89" s="37">
        <v>2369.6</v>
      </c>
      <c r="I89" s="37"/>
      <c r="J89" s="37"/>
      <c r="K89" s="34"/>
    </row>
    <row r="90" spans="1:18" ht="30" hidden="1" outlineLevel="1" x14ac:dyDescent="0.25">
      <c r="A90" s="67" t="s">
        <v>47</v>
      </c>
      <c r="B90" s="34"/>
      <c r="C90" s="34"/>
      <c r="D90" s="34">
        <v>1</v>
      </c>
      <c r="E90" s="34">
        <v>1</v>
      </c>
      <c r="F90" s="34">
        <v>1</v>
      </c>
      <c r="G90" s="34"/>
      <c r="H90" s="37"/>
      <c r="I90" s="36">
        <v>2309</v>
      </c>
      <c r="J90" s="36">
        <v>2472.9</v>
      </c>
      <c r="K90" s="89">
        <v>2472.9</v>
      </c>
    </row>
    <row r="91" spans="1:18" ht="45" hidden="1" outlineLevel="1" x14ac:dyDescent="0.25">
      <c r="A91" s="67" t="s">
        <v>39</v>
      </c>
      <c r="B91" s="34">
        <v>2</v>
      </c>
      <c r="C91" s="34">
        <v>1</v>
      </c>
      <c r="D91" s="34">
        <v>2</v>
      </c>
      <c r="E91" s="34">
        <v>2</v>
      </c>
      <c r="F91" s="34">
        <v>2</v>
      </c>
      <c r="G91" s="34"/>
      <c r="H91" s="37">
        <v>7390.9</v>
      </c>
      <c r="I91" s="37">
        <f>12979.8-736.6</f>
        <v>12243.199999999999</v>
      </c>
      <c r="J91" s="37">
        <f>13719.4-774.5</f>
        <v>12944.9</v>
      </c>
      <c r="K91" s="34">
        <f>J91</f>
        <v>12944.9</v>
      </c>
      <c r="M91" s="32">
        <v>-736.6</v>
      </c>
      <c r="N91" s="32">
        <v>-774.5</v>
      </c>
      <c r="O91" s="32">
        <v>-774.5</v>
      </c>
    </row>
    <row r="92" spans="1:18" ht="45" hidden="1" outlineLevel="1" x14ac:dyDescent="0.25">
      <c r="A92" s="67" t="s">
        <v>40</v>
      </c>
      <c r="B92" s="34">
        <v>1</v>
      </c>
      <c r="C92" s="34">
        <v>1</v>
      </c>
      <c r="D92" s="34">
        <v>1</v>
      </c>
      <c r="E92" s="34">
        <v>1</v>
      </c>
      <c r="F92" s="34">
        <v>1</v>
      </c>
      <c r="G92" s="34">
        <v>477.3</v>
      </c>
      <c r="H92" s="37">
        <v>644.70000000000005</v>
      </c>
      <c r="I92" s="37">
        <f>644.7-25.7</f>
        <v>619</v>
      </c>
      <c r="J92" s="37">
        <f>555.1-27.8</f>
        <v>527.30000000000007</v>
      </c>
      <c r="K92" s="34">
        <f>J92</f>
        <v>527.30000000000007</v>
      </c>
      <c r="M92" s="32">
        <v>-25.7</v>
      </c>
      <c r="N92" s="32">
        <v>-27.8</v>
      </c>
      <c r="O92" s="32">
        <v>-27.8</v>
      </c>
    </row>
    <row r="93" spans="1:18" ht="30" hidden="1" outlineLevel="1" x14ac:dyDescent="0.25">
      <c r="A93" s="67" t="s">
        <v>41</v>
      </c>
      <c r="B93" s="34">
        <v>2</v>
      </c>
      <c r="C93" s="34">
        <v>2</v>
      </c>
      <c r="D93" s="34">
        <v>2</v>
      </c>
      <c r="E93" s="34">
        <v>2</v>
      </c>
      <c r="F93" s="34">
        <v>2</v>
      </c>
      <c r="G93" s="34">
        <v>6000</v>
      </c>
      <c r="H93" s="37">
        <v>4777.3999999999996</v>
      </c>
      <c r="I93" s="37">
        <f>6085.6-300.6</f>
        <v>5785</v>
      </c>
      <c r="J93" s="37">
        <f>6034.2-302.8</f>
        <v>5731.4</v>
      </c>
      <c r="K93" s="34">
        <f>J93</f>
        <v>5731.4</v>
      </c>
      <c r="M93" s="32">
        <v>-300.60000000000002</v>
      </c>
      <c r="N93" s="32">
        <v>-302.8</v>
      </c>
      <c r="O93" s="32">
        <v>-302.8</v>
      </c>
    </row>
    <row r="94" spans="1:18" collapsed="1" x14ac:dyDescent="0.3">
      <c r="A94" s="166" t="s">
        <v>44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</row>
    <row r="95" spans="1:18" ht="26.25" customHeight="1" x14ac:dyDescent="0.2">
      <c r="A95" s="162" t="s">
        <v>153</v>
      </c>
      <c r="B95" s="163"/>
      <c r="C95" s="163"/>
      <c r="D95" s="163"/>
      <c r="E95" s="163"/>
      <c r="F95" s="163"/>
      <c r="G95" s="163"/>
      <c r="H95" s="163"/>
      <c r="I95" s="163"/>
      <c r="J95" s="163"/>
      <c r="K95" s="164"/>
    </row>
    <row r="96" spans="1:18" ht="39" customHeight="1" x14ac:dyDescent="0.2">
      <c r="A96" s="64" t="s">
        <v>156</v>
      </c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7" spans="1:12" ht="31.5" x14ac:dyDescent="0.2">
      <c r="A97" s="65" t="s">
        <v>149</v>
      </c>
      <c r="B97" s="34">
        <v>190</v>
      </c>
      <c r="C97" s="34">
        <v>190</v>
      </c>
      <c r="D97" s="34">
        <v>190</v>
      </c>
      <c r="E97" s="34">
        <v>190</v>
      </c>
      <c r="F97" s="34">
        <v>190</v>
      </c>
      <c r="G97" s="82">
        <v>1488.289</v>
      </c>
      <c r="H97" s="82">
        <v>1751.4649999999999</v>
      </c>
      <c r="I97" s="82">
        <v>1627.5530000000001</v>
      </c>
      <c r="J97" s="82">
        <v>1627.5530000000001</v>
      </c>
      <c r="K97" s="82">
        <v>1627.5530000000001</v>
      </c>
    </row>
    <row r="98" spans="1:12" ht="60" hidden="1" outlineLevel="1" x14ac:dyDescent="0.25">
      <c r="A98" s="67" t="s">
        <v>29</v>
      </c>
      <c r="B98" s="34">
        <v>39</v>
      </c>
      <c r="C98" s="34">
        <v>39</v>
      </c>
      <c r="D98" s="34">
        <v>39</v>
      </c>
      <c r="E98" s="34">
        <v>39</v>
      </c>
      <c r="F98" s="34">
        <v>39</v>
      </c>
      <c r="G98" s="34">
        <v>5413.8</v>
      </c>
      <c r="H98" s="34">
        <v>6013.4</v>
      </c>
      <c r="I98" s="34">
        <v>6013.4</v>
      </c>
      <c r="J98" s="34">
        <v>6013.4</v>
      </c>
      <c r="K98" s="34">
        <v>6013.4</v>
      </c>
    </row>
    <row r="99" spans="1:12" ht="45" hidden="1" outlineLevel="1" x14ac:dyDescent="0.25">
      <c r="A99" s="67" t="s">
        <v>31</v>
      </c>
      <c r="B99" s="34">
        <v>26</v>
      </c>
      <c r="C99" s="34">
        <v>18</v>
      </c>
      <c r="D99" s="34">
        <v>18</v>
      </c>
      <c r="E99" s="34">
        <v>18</v>
      </c>
      <c r="F99" s="34">
        <v>18</v>
      </c>
      <c r="G99" s="34">
        <v>1664.2</v>
      </c>
      <c r="H99" s="34">
        <v>1715.2</v>
      </c>
      <c r="I99" s="34">
        <v>1715.2</v>
      </c>
      <c r="J99" s="34">
        <v>1715.2</v>
      </c>
      <c r="K99" s="34">
        <v>1715.2</v>
      </c>
    </row>
    <row r="100" spans="1:12" ht="45" hidden="1" outlineLevel="1" x14ac:dyDescent="0.25">
      <c r="A100" s="67" t="s">
        <v>32</v>
      </c>
      <c r="B100" s="34">
        <v>28</v>
      </c>
      <c r="C100" s="34">
        <v>19</v>
      </c>
      <c r="D100" s="34">
        <v>19</v>
      </c>
      <c r="E100" s="34">
        <v>19</v>
      </c>
      <c r="F100" s="34">
        <v>19</v>
      </c>
      <c r="G100" s="34">
        <v>1893.7</v>
      </c>
      <c r="H100" s="34">
        <v>1888.9</v>
      </c>
      <c r="I100" s="34">
        <v>1888.9</v>
      </c>
      <c r="J100" s="34">
        <v>1888.9</v>
      </c>
      <c r="K100" s="34">
        <v>1888.9</v>
      </c>
    </row>
    <row r="101" spans="1:12" ht="75" hidden="1" outlineLevel="1" x14ac:dyDescent="0.25">
      <c r="A101" s="67" t="s">
        <v>30</v>
      </c>
      <c r="B101" s="34">
        <v>6</v>
      </c>
      <c r="C101" s="34">
        <v>5</v>
      </c>
      <c r="D101" s="34">
        <v>5</v>
      </c>
      <c r="E101" s="34">
        <v>5</v>
      </c>
      <c r="F101" s="34">
        <v>5</v>
      </c>
      <c r="G101" s="34">
        <v>701.1</v>
      </c>
      <c r="H101" s="34">
        <v>728.6</v>
      </c>
      <c r="I101" s="34">
        <v>728.6</v>
      </c>
      <c r="J101" s="34">
        <v>728.6</v>
      </c>
      <c r="K101" s="34">
        <v>728.6</v>
      </c>
      <c r="L101" s="32" t="s">
        <v>55</v>
      </c>
    </row>
    <row r="102" spans="1:12" ht="60" hidden="1" outlineLevel="1" x14ac:dyDescent="0.25">
      <c r="A102" s="67" t="s">
        <v>11</v>
      </c>
      <c r="B102" s="34">
        <v>146</v>
      </c>
      <c r="C102" s="34">
        <v>90</v>
      </c>
      <c r="D102" s="34">
        <v>90</v>
      </c>
      <c r="E102" s="34">
        <v>90</v>
      </c>
      <c r="F102" s="34">
        <v>90</v>
      </c>
      <c r="G102" s="34">
        <v>8270.4</v>
      </c>
      <c r="H102" s="34">
        <v>8783.1</v>
      </c>
      <c r="I102" s="34">
        <v>8783.1</v>
      </c>
      <c r="J102" s="34">
        <v>8783.1</v>
      </c>
      <c r="K102" s="34">
        <v>8783.1</v>
      </c>
    </row>
    <row r="103" spans="1:12" ht="45" hidden="1" outlineLevel="1" x14ac:dyDescent="0.25">
      <c r="A103" s="67" t="s">
        <v>12</v>
      </c>
      <c r="B103" s="34">
        <v>3</v>
      </c>
      <c r="C103" s="34">
        <v>4</v>
      </c>
      <c r="D103" s="34">
        <v>4</v>
      </c>
      <c r="E103" s="34">
        <v>4</v>
      </c>
      <c r="F103" s="34">
        <v>4</v>
      </c>
      <c r="G103" s="34">
        <v>339</v>
      </c>
      <c r="H103" s="34">
        <v>361.3</v>
      </c>
      <c r="I103" s="34">
        <v>361.3</v>
      </c>
      <c r="J103" s="34">
        <v>361.3</v>
      </c>
      <c r="K103" s="34">
        <v>361.3</v>
      </c>
    </row>
    <row r="104" spans="1:12" ht="45" hidden="1" outlineLevel="1" x14ac:dyDescent="0.25">
      <c r="A104" s="67" t="s">
        <v>13</v>
      </c>
      <c r="B104" s="34">
        <v>210</v>
      </c>
      <c r="C104" s="34">
        <v>120</v>
      </c>
      <c r="D104" s="34">
        <v>120</v>
      </c>
      <c r="E104" s="34">
        <v>120</v>
      </c>
      <c r="F104" s="34">
        <v>120</v>
      </c>
      <c r="G104" s="34">
        <v>125.5</v>
      </c>
      <c r="H104" s="34">
        <v>56.8</v>
      </c>
      <c r="I104" s="34">
        <v>56.8</v>
      </c>
      <c r="J104" s="34">
        <v>56.8</v>
      </c>
      <c r="K104" s="34">
        <v>56.8</v>
      </c>
    </row>
    <row r="105" spans="1:12" ht="45" hidden="1" outlineLevel="1" x14ac:dyDescent="0.25">
      <c r="A105" s="67" t="s">
        <v>14</v>
      </c>
      <c r="B105" s="34">
        <v>16</v>
      </c>
      <c r="C105" s="34">
        <v>8</v>
      </c>
      <c r="D105" s="34">
        <v>8</v>
      </c>
      <c r="E105" s="34">
        <v>8</v>
      </c>
      <c r="F105" s="34">
        <v>8</v>
      </c>
      <c r="G105" s="34">
        <v>712.4</v>
      </c>
      <c r="H105" s="34">
        <v>736.8</v>
      </c>
      <c r="I105" s="34">
        <v>736.8</v>
      </c>
      <c r="J105" s="34">
        <v>736.8</v>
      </c>
      <c r="K105" s="34">
        <v>736.8</v>
      </c>
    </row>
    <row r="106" spans="1:12" ht="45" hidden="1" outlineLevel="1" x14ac:dyDescent="0.25">
      <c r="A106" s="67" t="s">
        <v>15</v>
      </c>
      <c r="B106" s="34">
        <v>10</v>
      </c>
      <c r="C106" s="34">
        <v>13</v>
      </c>
      <c r="D106" s="34">
        <v>14</v>
      </c>
      <c r="E106" s="34">
        <v>15</v>
      </c>
      <c r="F106" s="34">
        <v>15</v>
      </c>
      <c r="G106" s="34">
        <v>113</v>
      </c>
      <c r="H106" s="34">
        <v>113</v>
      </c>
      <c r="I106" s="34">
        <v>113</v>
      </c>
      <c r="J106" s="34">
        <v>113</v>
      </c>
      <c r="K106" s="34">
        <v>113</v>
      </c>
    </row>
    <row r="107" spans="1:12" ht="37.5" customHeight="1" collapsed="1" x14ac:dyDescent="0.2">
      <c r="A107" s="64" t="s">
        <v>155</v>
      </c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2" ht="43.5" customHeight="1" x14ac:dyDescent="0.2">
      <c r="A108" s="65" t="s">
        <v>113</v>
      </c>
      <c r="B108" s="34">
        <v>12</v>
      </c>
      <c r="C108" s="34">
        <v>12</v>
      </c>
      <c r="D108" s="34">
        <v>12</v>
      </c>
      <c r="E108" s="34">
        <v>12</v>
      </c>
      <c r="F108" s="34">
        <v>12</v>
      </c>
      <c r="G108" s="82">
        <v>698.86500000000001</v>
      </c>
      <c r="H108" s="82">
        <v>529.05399999999997</v>
      </c>
      <c r="I108" s="82">
        <v>1209.451</v>
      </c>
      <c r="J108" s="82">
        <v>1209.451</v>
      </c>
      <c r="K108" s="82">
        <v>1209.451</v>
      </c>
    </row>
    <row r="109" spans="1:12" ht="30" hidden="1" outlineLevel="1" x14ac:dyDescent="0.25">
      <c r="A109" s="67" t="s">
        <v>41</v>
      </c>
      <c r="B109" s="34">
        <v>5</v>
      </c>
      <c r="C109" s="34">
        <v>3</v>
      </c>
      <c r="D109" s="34">
        <v>3</v>
      </c>
      <c r="E109" s="34">
        <v>3</v>
      </c>
      <c r="F109" s="34">
        <v>3</v>
      </c>
      <c r="G109" s="34">
        <v>108.5</v>
      </c>
      <c r="H109" s="34">
        <v>76.099999999999994</v>
      </c>
      <c r="I109" s="34">
        <v>96.9</v>
      </c>
      <c r="J109" s="34">
        <v>100.8</v>
      </c>
      <c r="K109" s="34">
        <f>J109</f>
        <v>100.8</v>
      </c>
    </row>
    <row r="110" spans="1:12" ht="45" hidden="1" outlineLevel="1" x14ac:dyDescent="0.25">
      <c r="A110" s="67" t="s">
        <v>33</v>
      </c>
      <c r="B110" s="34">
        <v>30</v>
      </c>
      <c r="C110" s="34">
        <v>35</v>
      </c>
      <c r="D110" s="34">
        <v>35</v>
      </c>
      <c r="E110" s="34">
        <v>35</v>
      </c>
      <c r="F110" s="34">
        <v>35</v>
      </c>
      <c r="G110" s="34"/>
      <c r="H110" s="34">
        <v>3746.9</v>
      </c>
      <c r="I110" s="34">
        <v>4298.8999999999996</v>
      </c>
      <c r="J110" s="34">
        <v>4352.2</v>
      </c>
      <c r="K110" s="34">
        <f t="shared" ref="K110:K115" si="2">J110</f>
        <v>4352.2</v>
      </c>
    </row>
    <row r="111" spans="1:12" hidden="1" outlineLevel="1" x14ac:dyDescent="0.25">
      <c r="A111" s="67" t="s">
        <v>48</v>
      </c>
      <c r="B111" s="34"/>
      <c r="C111" s="34">
        <v>1</v>
      </c>
      <c r="D111" s="34">
        <v>3</v>
      </c>
      <c r="E111" s="34">
        <v>6</v>
      </c>
      <c r="F111" s="34">
        <v>6</v>
      </c>
      <c r="G111" s="34"/>
      <c r="H111" s="34"/>
      <c r="I111" s="89">
        <v>16495</v>
      </c>
      <c r="J111" s="34">
        <v>17261.7</v>
      </c>
      <c r="K111" s="34">
        <f>J111</f>
        <v>17261.7</v>
      </c>
    </row>
    <row r="112" spans="1:12" hidden="1" outlineLevel="1" x14ac:dyDescent="0.25">
      <c r="A112" s="67" t="s">
        <v>49</v>
      </c>
      <c r="B112" s="34"/>
      <c r="C112" s="34"/>
      <c r="D112" s="34">
        <v>5</v>
      </c>
      <c r="E112" s="34">
        <v>5</v>
      </c>
      <c r="F112" s="34">
        <v>5</v>
      </c>
      <c r="G112" s="34"/>
      <c r="H112" s="34"/>
      <c r="I112" s="89">
        <v>25896.799999999999</v>
      </c>
      <c r="J112" s="34">
        <v>26878.6</v>
      </c>
      <c r="K112" s="34">
        <f>J112</f>
        <v>26878.6</v>
      </c>
    </row>
    <row r="113" spans="1:15" ht="30" hidden="1" outlineLevel="1" x14ac:dyDescent="0.25">
      <c r="A113" s="68" t="s">
        <v>34</v>
      </c>
      <c r="B113" s="34">
        <v>10</v>
      </c>
      <c r="C113" s="34">
        <v>6</v>
      </c>
      <c r="D113" s="34">
        <v>6</v>
      </c>
      <c r="E113" s="34">
        <v>6</v>
      </c>
      <c r="F113" s="34">
        <v>6</v>
      </c>
      <c r="G113" s="34"/>
      <c r="H113" s="34">
        <v>610</v>
      </c>
      <c r="I113" s="34">
        <v>210</v>
      </c>
      <c r="J113" s="34">
        <v>210</v>
      </c>
      <c r="K113" s="34">
        <f t="shared" si="2"/>
        <v>210</v>
      </c>
    </row>
    <row r="114" spans="1:15" ht="45" hidden="1" outlineLevel="1" x14ac:dyDescent="0.25">
      <c r="A114" s="67" t="s">
        <v>37</v>
      </c>
      <c r="B114" s="34">
        <v>69</v>
      </c>
      <c r="C114" s="34">
        <v>45</v>
      </c>
      <c r="D114" s="34">
        <v>45</v>
      </c>
      <c r="E114" s="34">
        <v>45</v>
      </c>
      <c r="F114" s="34">
        <v>45</v>
      </c>
      <c r="G114" s="34">
        <v>10159.700000000001</v>
      </c>
      <c r="H114" s="34">
        <v>15063.8</v>
      </c>
      <c r="I114" s="34">
        <f>15769.5+3436.4</f>
        <v>19205.900000000001</v>
      </c>
      <c r="J114" s="34">
        <f>16530.1+4160.5</f>
        <v>20690.599999999999</v>
      </c>
      <c r="K114" s="34">
        <f t="shared" si="2"/>
        <v>20690.599999999999</v>
      </c>
      <c r="M114" s="32">
        <v>3436.4</v>
      </c>
      <c r="N114" s="32">
        <v>4160.5</v>
      </c>
      <c r="O114" s="32">
        <v>4160.5</v>
      </c>
    </row>
    <row r="115" spans="1:15" ht="45" hidden="1" outlineLevel="1" x14ac:dyDescent="0.25">
      <c r="A115" s="67" t="s">
        <v>35</v>
      </c>
      <c r="B115" s="34">
        <v>6</v>
      </c>
      <c r="C115" s="34">
        <v>6</v>
      </c>
      <c r="D115" s="34">
        <v>6</v>
      </c>
      <c r="E115" s="34">
        <v>6</v>
      </c>
      <c r="F115" s="34">
        <v>6</v>
      </c>
      <c r="G115" s="34">
        <v>350</v>
      </c>
      <c r="H115" s="34">
        <v>324.10000000000002</v>
      </c>
      <c r="I115" s="34">
        <v>323</v>
      </c>
      <c r="J115" s="34">
        <v>311.39999999999998</v>
      </c>
      <c r="K115" s="34">
        <f t="shared" si="2"/>
        <v>311.39999999999998</v>
      </c>
    </row>
    <row r="116" spans="1:15" ht="75" hidden="1" outlineLevel="1" x14ac:dyDescent="0.2">
      <c r="A116" s="69" t="s">
        <v>45</v>
      </c>
      <c r="B116" s="34">
        <v>20</v>
      </c>
      <c r="C116" s="34">
        <v>25</v>
      </c>
      <c r="D116" s="34">
        <v>27</v>
      </c>
      <c r="E116" s="34">
        <v>28</v>
      </c>
      <c r="F116" s="34">
        <v>28</v>
      </c>
      <c r="G116" s="34">
        <v>2453.3000000000002</v>
      </c>
      <c r="H116" s="34">
        <v>6323.2</v>
      </c>
      <c r="I116" s="34">
        <f>6947.6</f>
        <v>6947.6</v>
      </c>
      <c r="J116" s="34">
        <f>6968.4</f>
        <v>6968.4</v>
      </c>
      <c r="K116" s="34">
        <f>6968.4</f>
        <v>6968.4</v>
      </c>
      <c r="L116" s="32" t="s">
        <v>46</v>
      </c>
      <c r="M116" s="32">
        <v>2440</v>
      </c>
      <c r="N116" s="32">
        <v>2140</v>
      </c>
      <c r="O116" s="32">
        <v>0</v>
      </c>
    </row>
    <row r="117" spans="1:15" collapsed="1" x14ac:dyDescent="0.2">
      <c r="A117" s="70"/>
      <c r="B117" s="47"/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5" ht="37.5" customHeight="1" x14ac:dyDescent="0.2"/>
    <row r="119" spans="1:15" ht="37.5" customHeight="1" x14ac:dyDescent="0.2">
      <c r="I119" s="38"/>
    </row>
    <row r="120" spans="1:15" ht="37.5" customHeight="1" x14ac:dyDescent="0.2"/>
    <row r="121" spans="1:15" ht="37.5" customHeight="1" x14ac:dyDescent="0.2"/>
    <row r="122" spans="1:15" ht="37.5" customHeight="1" x14ac:dyDescent="0.2"/>
    <row r="123" spans="1:15" ht="37.5" customHeight="1" x14ac:dyDescent="0.2"/>
    <row r="124" spans="1:15" ht="37.5" customHeight="1" x14ac:dyDescent="0.2"/>
    <row r="125" spans="1:15" ht="37.5" customHeight="1" x14ac:dyDescent="0.2"/>
  </sheetData>
  <mergeCells count="27">
    <mergeCell ref="A13:K13"/>
    <mergeCell ref="A94:K94"/>
    <mergeCell ref="A21:K21"/>
    <mergeCell ref="A22:K22"/>
    <mergeCell ref="A27:K27"/>
    <mergeCell ref="A52:K52"/>
    <mergeCell ref="A53:K53"/>
    <mergeCell ref="A59:K59"/>
    <mergeCell ref="A60:K60"/>
    <mergeCell ref="A40:K40"/>
    <mergeCell ref="F1:K1"/>
    <mergeCell ref="A6:K6"/>
    <mergeCell ref="A7:K7"/>
    <mergeCell ref="A12:K12"/>
    <mergeCell ref="A2:K2"/>
    <mergeCell ref="A4:A5"/>
    <mergeCell ref="B4:F4"/>
    <mergeCell ref="G4:K4"/>
    <mergeCell ref="A95:K95"/>
    <mergeCell ref="A28:K28"/>
    <mergeCell ref="A33:K33"/>
    <mergeCell ref="A34:K34"/>
    <mergeCell ref="A69:K69"/>
    <mergeCell ref="A70:K70"/>
    <mergeCell ref="A41:K41"/>
    <mergeCell ref="A46:K46"/>
    <mergeCell ref="A47:K47"/>
  </mergeCells>
  <phoneticPr fontId="0" type="noConversion"/>
  <pageMargins left="0.47" right="0.31" top="0.59" bottom="0.74803149606299213" header="0.3" footer="0.31496062992125984"/>
  <pageSetup paperSize="9" scale="41" fitToHeight="1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O23"/>
  <sheetViews>
    <sheetView view="pageBreakPreview" zoomScale="80" zoomScaleNormal="85" zoomScaleSheetLayoutView="80" workbookViewId="0">
      <selection activeCell="C23" sqref="C23"/>
    </sheetView>
  </sheetViews>
  <sheetFormatPr defaultRowHeight="15.75" x14ac:dyDescent="0.2"/>
  <cols>
    <col min="1" max="1" width="7.7109375" style="50" customWidth="1"/>
    <col min="2" max="2" width="30.85546875" style="24" customWidth="1"/>
    <col min="3" max="3" width="16.140625" style="24" customWidth="1"/>
    <col min="4" max="5" width="9.140625" style="24"/>
    <col min="6" max="6" width="4.5703125" style="24" customWidth="1"/>
    <col min="7" max="7" width="2.42578125" style="24" customWidth="1"/>
    <col min="8" max="8" width="9.42578125" style="24" customWidth="1"/>
    <col min="9" max="9" width="9.140625" style="24"/>
    <col min="10" max="10" width="14.42578125" style="24" customWidth="1"/>
    <col min="11" max="11" width="14.140625" style="24" customWidth="1"/>
    <col min="12" max="12" width="14.5703125" style="24" customWidth="1"/>
    <col min="13" max="13" width="15.140625" style="24" customWidth="1"/>
    <col min="14" max="14" width="27.140625" style="24" customWidth="1"/>
    <col min="15" max="15" width="10.42578125" style="24" bestFit="1" customWidth="1"/>
    <col min="16" max="16384" width="9.140625" style="24"/>
  </cols>
  <sheetData>
    <row r="1" spans="1:15" ht="93.75" customHeight="1" x14ac:dyDescent="0.2">
      <c r="E1" s="179"/>
      <c r="F1" s="180"/>
      <c r="G1" s="180"/>
      <c r="L1" s="175" t="s">
        <v>188</v>
      </c>
      <c r="M1" s="175"/>
      <c r="N1" s="175"/>
      <c r="O1" s="1"/>
    </row>
    <row r="2" spans="1:15" ht="39" customHeight="1" x14ac:dyDescent="0.2">
      <c r="A2" s="181" t="s">
        <v>171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5" ht="9" customHeight="1" x14ac:dyDescent="0.2">
      <c r="E3" s="7"/>
      <c r="F3" s="6" t="s">
        <v>91</v>
      </c>
      <c r="G3" s="7">
        <v>1</v>
      </c>
      <c r="H3" s="7"/>
    </row>
    <row r="4" spans="1:15" ht="18" customHeight="1" x14ac:dyDescent="0.2">
      <c r="A4" s="182" t="s">
        <v>65</v>
      </c>
      <c r="B4" s="183" t="s">
        <v>66</v>
      </c>
      <c r="C4" s="161" t="s">
        <v>67</v>
      </c>
      <c r="D4" s="161" t="s">
        <v>68</v>
      </c>
      <c r="E4" s="161"/>
      <c r="F4" s="161"/>
      <c r="G4" s="161"/>
      <c r="H4" s="161"/>
      <c r="I4" s="161"/>
      <c r="J4" s="185" t="s">
        <v>69</v>
      </c>
      <c r="K4" s="186"/>
      <c r="L4" s="186"/>
      <c r="M4" s="187"/>
      <c r="N4" s="161" t="s">
        <v>70</v>
      </c>
    </row>
    <row r="5" spans="1:15" ht="83.25" customHeight="1" x14ac:dyDescent="0.2">
      <c r="A5" s="182"/>
      <c r="B5" s="184"/>
      <c r="C5" s="161"/>
      <c r="D5" s="19" t="s">
        <v>71</v>
      </c>
      <c r="E5" s="19" t="s">
        <v>72</v>
      </c>
      <c r="F5" s="185" t="s">
        <v>73</v>
      </c>
      <c r="G5" s="186"/>
      <c r="H5" s="187"/>
      <c r="I5" s="19" t="s">
        <v>74</v>
      </c>
      <c r="J5" s="19" t="s">
        <v>77</v>
      </c>
      <c r="K5" s="19" t="s">
        <v>170</v>
      </c>
      <c r="L5" s="19" t="s">
        <v>186</v>
      </c>
      <c r="M5" s="19" t="s">
        <v>189</v>
      </c>
      <c r="N5" s="161"/>
    </row>
    <row r="6" spans="1:15" ht="23.25" customHeight="1" x14ac:dyDescent="0.2">
      <c r="A6" s="2"/>
      <c r="B6" s="176" t="s">
        <v>111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19"/>
    </row>
    <row r="7" spans="1:15" ht="20.25" customHeight="1" x14ac:dyDescent="0.2">
      <c r="A7" s="2" t="s">
        <v>80</v>
      </c>
      <c r="B7" s="176" t="s">
        <v>112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4"/>
    </row>
    <row r="8" spans="1:15" ht="50.25" customHeight="1" x14ac:dyDescent="0.2">
      <c r="A8" s="10" t="s">
        <v>81</v>
      </c>
      <c r="B8" s="183" t="s">
        <v>113</v>
      </c>
      <c r="C8" s="183" t="s">
        <v>114</v>
      </c>
      <c r="D8" s="2" t="s">
        <v>115</v>
      </c>
      <c r="E8" s="2" t="s">
        <v>90</v>
      </c>
      <c r="F8" s="53" t="s">
        <v>165</v>
      </c>
      <c r="G8" s="51">
        <v>2</v>
      </c>
      <c r="H8" s="54" t="s">
        <v>190</v>
      </c>
      <c r="I8" s="2" t="s">
        <v>166</v>
      </c>
      <c r="J8" s="74">
        <v>14684.192999999999</v>
      </c>
      <c r="K8" s="74">
        <v>14684.192999999999</v>
      </c>
      <c r="L8" s="74">
        <v>14684.192999999999</v>
      </c>
      <c r="M8" s="74">
        <f>J8+K8+L8</f>
        <v>44052.578999999998</v>
      </c>
      <c r="N8" s="183" t="s">
        <v>117</v>
      </c>
    </row>
    <row r="9" spans="1:15" ht="15.75" hidden="1" customHeight="1" x14ac:dyDescent="0.2">
      <c r="A9" s="10"/>
      <c r="B9" s="189"/>
      <c r="C9" s="189"/>
      <c r="D9" s="2"/>
      <c r="E9" s="2"/>
      <c r="F9" s="53"/>
      <c r="G9" s="51"/>
      <c r="H9" s="54"/>
      <c r="I9" s="2"/>
      <c r="J9" s="74"/>
      <c r="K9" s="74"/>
      <c r="L9" s="74"/>
      <c r="M9" s="74"/>
      <c r="N9" s="189"/>
    </row>
    <row r="10" spans="1:15" ht="15.75" hidden="1" customHeight="1" x14ac:dyDescent="0.2">
      <c r="A10" s="10"/>
      <c r="B10" s="184"/>
      <c r="C10" s="184"/>
      <c r="D10" s="2"/>
      <c r="E10" s="2"/>
      <c r="F10" s="53"/>
      <c r="G10" s="51"/>
      <c r="H10" s="54"/>
      <c r="I10" s="2"/>
      <c r="J10" s="74"/>
      <c r="K10" s="74"/>
      <c r="L10" s="74"/>
      <c r="M10" s="74"/>
      <c r="N10" s="184"/>
    </row>
    <row r="11" spans="1:15" s="107" customFormat="1" x14ac:dyDescent="0.2">
      <c r="A11" s="100"/>
      <c r="B11" s="80" t="s">
        <v>116</v>
      </c>
      <c r="C11" s="101"/>
      <c r="D11" s="80"/>
      <c r="E11" s="80"/>
      <c r="F11" s="102"/>
      <c r="G11" s="103"/>
      <c r="H11" s="104"/>
      <c r="I11" s="80"/>
      <c r="J11" s="105">
        <f>J10+J9+J8</f>
        <v>14684.192999999999</v>
      </c>
      <c r="K11" s="105">
        <f>K10+K9+K8</f>
        <v>14684.192999999999</v>
      </c>
      <c r="L11" s="105">
        <f>L10+L9+L8</f>
        <v>14684.192999999999</v>
      </c>
      <c r="M11" s="105">
        <f>M10+M9+M8</f>
        <v>44052.578999999998</v>
      </c>
      <c r="N11" s="101"/>
      <c r="O11" s="106"/>
    </row>
    <row r="12" spans="1:15" ht="22.5" customHeight="1" x14ac:dyDescent="0.2">
      <c r="A12" s="2" t="s">
        <v>83</v>
      </c>
      <c r="B12" s="176" t="s">
        <v>120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8"/>
      <c r="N12" s="3"/>
    </row>
    <row r="13" spans="1:15" ht="47.25" customHeight="1" x14ac:dyDescent="0.2">
      <c r="A13" s="2" t="s">
        <v>84</v>
      </c>
      <c r="B13" s="4" t="s">
        <v>118</v>
      </c>
      <c r="C13" s="3" t="s">
        <v>114</v>
      </c>
      <c r="D13" s="2" t="s">
        <v>115</v>
      </c>
      <c r="E13" s="2" t="s">
        <v>90</v>
      </c>
      <c r="F13" s="53" t="s">
        <v>165</v>
      </c>
      <c r="G13" s="51">
        <v>2</v>
      </c>
      <c r="H13" s="54" t="s">
        <v>190</v>
      </c>
      <c r="I13" s="2" t="s">
        <v>166</v>
      </c>
      <c r="J13" s="74">
        <v>795.91899999999998</v>
      </c>
      <c r="K13" s="74">
        <v>795.91899999999998</v>
      </c>
      <c r="L13" s="74">
        <v>795.91899999999998</v>
      </c>
      <c r="M13" s="74">
        <f>J13+K13+L13</f>
        <v>2387.7570000000001</v>
      </c>
      <c r="N13" s="4" t="s">
        <v>119</v>
      </c>
    </row>
    <row r="14" spans="1:15" s="107" customFormat="1" x14ac:dyDescent="0.2">
      <c r="A14" s="100"/>
      <c r="B14" s="80" t="s">
        <v>82</v>
      </c>
      <c r="C14" s="101"/>
      <c r="D14" s="80"/>
      <c r="E14" s="80"/>
      <c r="F14" s="102"/>
      <c r="G14" s="103"/>
      <c r="H14" s="104"/>
      <c r="I14" s="80"/>
      <c r="J14" s="105">
        <f>J13</f>
        <v>795.91899999999998</v>
      </c>
      <c r="K14" s="105">
        <f>K13</f>
        <v>795.91899999999998</v>
      </c>
      <c r="L14" s="105">
        <f>L13</f>
        <v>795.91899999999998</v>
      </c>
      <c r="M14" s="105">
        <f>SUM(J14:L14)</f>
        <v>2387.7570000000001</v>
      </c>
      <c r="N14" s="101"/>
      <c r="O14" s="106"/>
    </row>
    <row r="15" spans="1:15" s="107" customFormat="1" x14ac:dyDescent="0.2">
      <c r="A15" s="100"/>
      <c r="B15" s="80" t="s">
        <v>86</v>
      </c>
      <c r="C15" s="80"/>
      <c r="D15" s="80"/>
      <c r="E15" s="80"/>
      <c r="F15" s="102"/>
      <c r="G15" s="103"/>
      <c r="H15" s="104"/>
      <c r="I15" s="80"/>
      <c r="J15" s="105">
        <f>J14+J11</f>
        <v>15480.111999999999</v>
      </c>
      <c r="K15" s="105">
        <f>K14+K11</f>
        <v>15480.111999999999</v>
      </c>
      <c r="L15" s="105">
        <f>L14+L11</f>
        <v>15480.111999999999</v>
      </c>
      <c r="M15" s="105">
        <f>M14+M11</f>
        <v>46440.335999999996</v>
      </c>
      <c r="N15" s="80"/>
      <c r="O15" s="106"/>
    </row>
    <row r="16" spans="1:15" x14ac:dyDescent="0.2">
      <c r="A16" s="2"/>
      <c r="B16" s="4" t="s">
        <v>121</v>
      </c>
      <c r="C16" s="4"/>
      <c r="D16" s="4"/>
      <c r="E16" s="4"/>
      <c r="F16" s="53"/>
      <c r="G16" s="51"/>
      <c r="H16" s="52"/>
      <c r="I16" s="4"/>
      <c r="J16" s="74"/>
      <c r="K16" s="74"/>
      <c r="L16" s="74"/>
      <c r="M16" s="74"/>
      <c r="N16" s="4"/>
    </row>
    <row r="17" spans="1:15" ht="38.25" customHeight="1" x14ac:dyDescent="0.2">
      <c r="A17" s="2"/>
      <c r="B17" s="4" t="s">
        <v>122</v>
      </c>
      <c r="C17" s="4" t="s">
        <v>114</v>
      </c>
      <c r="D17" s="4">
        <v>863</v>
      </c>
      <c r="E17" s="75" t="s">
        <v>90</v>
      </c>
      <c r="F17" s="53" t="s">
        <v>165</v>
      </c>
      <c r="G17" s="51">
        <v>2</v>
      </c>
      <c r="H17" s="54" t="s">
        <v>191</v>
      </c>
      <c r="I17" s="4">
        <v>130</v>
      </c>
      <c r="J17" s="74">
        <v>325</v>
      </c>
      <c r="K17" s="74">
        <v>325</v>
      </c>
      <c r="L17" s="74">
        <v>325</v>
      </c>
      <c r="M17" s="74">
        <f>SUM(J17:L17)</f>
        <v>975</v>
      </c>
      <c r="N17" s="4"/>
      <c r="O17" s="23"/>
    </row>
    <row r="18" spans="1:15" x14ac:dyDescent="0.2">
      <c r="A18" s="55"/>
      <c r="B18" s="9"/>
      <c r="C18" s="9"/>
      <c r="D18" s="9"/>
      <c r="E18" s="9"/>
      <c r="F18" s="55"/>
      <c r="G18" s="56"/>
      <c r="H18" s="56"/>
      <c r="I18" s="9"/>
      <c r="J18" s="15"/>
      <c r="K18" s="15"/>
      <c r="L18" s="15"/>
      <c r="M18" s="15"/>
      <c r="N18" s="9"/>
      <c r="O18" s="23"/>
    </row>
    <row r="19" spans="1:15" s="49" customFormat="1" ht="35.25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  <c r="J19" s="48"/>
      <c r="K19" s="48"/>
      <c r="L19" s="48"/>
      <c r="M19" s="48"/>
    </row>
    <row r="22" spans="1:15" x14ac:dyDescent="0.2">
      <c r="J22" s="23"/>
      <c r="K22" s="23"/>
      <c r="L22" s="23"/>
      <c r="M22" s="23"/>
    </row>
    <row r="23" spans="1:15" x14ac:dyDescent="0.2">
      <c r="J23" s="23"/>
      <c r="K23" s="23"/>
      <c r="L23" s="23"/>
      <c r="M23" s="23"/>
      <c r="O23" s="23"/>
    </row>
  </sheetData>
  <mergeCells count="17">
    <mergeCell ref="N4:N5"/>
    <mergeCell ref="A19:I19"/>
    <mergeCell ref="F5:H5"/>
    <mergeCell ref="B12:M12"/>
    <mergeCell ref="B8:B10"/>
    <mergeCell ref="C8:C10"/>
    <mergeCell ref="N8:N10"/>
    <mergeCell ref="L1:N1"/>
    <mergeCell ref="B6:M6"/>
    <mergeCell ref="B7:M7"/>
    <mergeCell ref="E1:G1"/>
    <mergeCell ref="A2:N2"/>
    <mergeCell ref="A4:A5"/>
    <mergeCell ref="B4:B5"/>
    <mergeCell ref="C4:C5"/>
    <mergeCell ref="D4:I4"/>
    <mergeCell ref="J4:M4"/>
  </mergeCells>
  <phoneticPr fontId="0" type="noConversion"/>
  <pageMargins left="0.35433070866141736" right="0.23622047244094491" top="0.51" bottom="0.5" header="0.57999999999999996" footer="0.57999999999999996"/>
  <pageSetup paperSize="9" scale="54" fitToHeight="1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O27"/>
  <sheetViews>
    <sheetView view="pageBreakPreview" zoomScale="80" zoomScaleNormal="100" zoomScaleSheetLayoutView="80" workbookViewId="0">
      <selection activeCell="J23" sqref="J23"/>
    </sheetView>
  </sheetViews>
  <sheetFormatPr defaultRowHeight="15.75" x14ac:dyDescent="0.2"/>
  <cols>
    <col min="1" max="1" width="7.7109375" style="50" customWidth="1"/>
    <col min="2" max="2" width="30.85546875" style="24" customWidth="1"/>
    <col min="3" max="3" width="16.140625" style="24" customWidth="1"/>
    <col min="4" max="5" width="9.140625" style="24"/>
    <col min="6" max="6" width="4.5703125" style="24" customWidth="1"/>
    <col min="7" max="7" width="2.42578125" style="24" customWidth="1"/>
    <col min="8" max="8" width="10.28515625" style="24" customWidth="1"/>
    <col min="9" max="9" width="9.140625" style="24"/>
    <col min="10" max="10" width="14.42578125" style="24" bestFit="1" customWidth="1"/>
    <col min="11" max="11" width="14.85546875" style="24" bestFit="1" customWidth="1"/>
    <col min="12" max="12" width="14.5703125" style="24" customWidth="1"/>
    <col min="13" max="13" width="15.140625" style="24" customWidth="1"/>
    <col min="14" max="14" width="26.28515625" style="24" customWidth="1"/>
    <col min="15" max="15" width="10.42578125" style="24" bestFit="1" customWidth="1"/>
    <col min="16" max="16384" width="9.140625" style="24"/>
  </cols>
  <sheetData>
    <row r="1" spans="1:15" ht="96.75" customHeight="1" x14ac:dyDescent="0.2">
      <c r="A1" s="72"/>
      <c r="B1" s="73"/>
      <c r="C1" s="73"/>
      <c r="D1" s="73"/>
      <c r="E1" s="190"/>
      <c r="F1" s="191"/>
      <c r="G1" s="191"/>
      <c r="H1" s="73"/>
      <c r="I1" s="73"/>
      <c r="J1" s="73"/>
      <c r="K1" s="73"/>
      <c r="L1" s="192" t="s">
        <v>192</v>
      </c>
      <c r="M1" s="192"/>
      <c r="N1" s="192"/>
      <c r="O1" s="1"/>
    </row>
    <row r="2" spans="1:15" ht="39" customHeight="1" x14ac:dyDescent="0.2">
      <c r="A2" s="193" t="s">
        <v>60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</row>
    <row r="3" spans="1:15" x14ac:dyDescent="0.2">
      <c r="E3" s="7"/>
      <c r="F3" s="6" t="s">
        <v>91</v>
      </c>
      <c r="G3" s="7">
        <v>4</v>
      </c>
      <c r="H3" s="7"/>
    </row>
    <row r="4" spans="1:15" ht="18" customHeight="1" x14ac:dyDescent="0.2">
      <c r="A4" s="182" t="s">
        <v>65</v>
      </c>
      <c r="B4" s="183" t="s">
        <v>66</v>
      </c>
      <c r="C4" s="161" t="s">
        <v>67</v>
      </c>
      <c r="D4" s="161" t="s">
        <v>68</v>
      </c>
      <c r="E4" s="161"/>
      <c r="F4" s="161"/>
      <c r="G4" s="161"/>
      <c r="H4" s="161"/>
      <c r="I4" s="161"/>
      <c r="J4" s="185" t="s">
        <v>69</v>
      </c>
      <c r="K4" s="186"/>
      <c r="L4" s="186"/>
      <c r="M4" s="187"/>
      <c r="N4" s="161" t="s">
        <v>70</v>
      </c>
    </row>
    <row r="5" spans="1:15" ht="83.25" customHeight="1" x14ac:dyDescent="0.2">
      <c r="A5" s="182"/>
      <c r="B5" s="184"/>
      <c r="C5" s="161"/>
      <c r="D5" s="19" t="s">
        <v>71</v>
      </c>
      <c r="E5" s="19" t="s">
        <v>72</v>
      </c>
      <c r="F5" s="185" t="s">
        <v>73</v>
      </c>
      <c r="G5" s="186"/>
      <c r="H5" s="187"/>
      <c r="I5" s="19" t="s">
        <v>74</v>
      </c>
      <c r="J5" s="19" t="s">
        <v>77</v>
      </c>
      <c r="K5" s="19" t="s">
        <v>170</v>
      </c>
      <c r="L5" s="19" t="s">
        <v>186</v>
      </c>
      <c r="M5" s="19" t="s">
        <v>193</v>
      </c>
      <c r="N5" s="161"/>
    </row>
    <row r="6" spans="1:15" ht="36" customHeight="1" x14ac:dyDescent="0.2">
      <c r="A6" s="2"/>
      <c r="B6" s="176" t="s">
        <v>132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19"/>
    </row>
    <row r="7" spans="1:15" ht="19.5" customHeight="1" x14ac:dyDescent="0.2">
      <c r="A7" s="2" t="s">
        <v>78</v>
      </c>
      <c r="B7" s="176" t="s">
        <v>124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19"/>
    </row>
    <row r="8" spans="1:15" ht="47.25" x14ac:dyDescent="0.2">
      <c r="A8" s="11"/>
      <c r="B8" s="158" t="s">
        <v>125</v>
      </c>
      <c r="C8" s="183" t="s">
        <v>114</v>
      </c>
      <c r="D8" s="2" t="s">
        <v>115</v>
      </c>
      <c r="E8" s="2" t="s">
        <v>123</v>
      </c>
      <c r="F8" s="53" t="s">
        <v>165</v>
      </c>
      <c r="G8" s="51">
        <v>1</v>
      </c>
      <c r="H8" s="54" t="s">
        <v>190</v>
      </c>
      <c r="I8" s="19">
        <v>611</v>
      </c>
      <c r="J8" s="74">
        <v>8144.9350000000004</v>
      </c>
      <c r="K8" s="74">
        <v>8144.9350000000004</v>
      </c>
      <c r="L8" s="74">
        <v>8144.9350000000004</v>
      </c>
      <c r="M8" s="74">
        <f>J8+K8+L8</f>
        <v>24434.805</v>
      </c>
      <c r="N8" s="76" t="s">
        <v>126</v>
      </c>
    </row>
    <row r="9" spans="1:15" x14ac:dyDescent="0.2">
      <c r="A9" s="11"/>
      <c r="B9" s="159"/>
      <c r="C9" s="189"/>
      <c r="D9" s="2" t="s">
        <v>115</v>
      </c>
      <c r="E9" s="2" t="s">
        <v>123</v>
      </c>
      <c r="F9" s="53" t="s">
        <v>165</v>
      </c>
      <c r="G9" s="51">
        <v>1</v>
      </c>
      <c r="H9" s="54" t="s">
        <v>194</v>
      </c>
      <c r="I9" s="19">
        <v>611</v>
      </c>
      <c r="J9" s="74">
        <v>107.07599999999999</v>
      </c>
      <c r="K9" s="74">
        <v>107.07599999999999</v>
      </c>
      <c r="L9" s="74">
        <v>107.07599999999999</v>
      </c>
      <c r="M9" s="74">
        <f>J9+K9+L9</f>
        <v>321.22799999999995</v>
      </c>
      <c r="N9" s="76"/>
    </row>
    <row r="10" spans="1:15" hidden="1" x14ac:dyDescent="0.2">
      <c r="A10" s="11"/>
      <c r="B10" s="160"/>
      <c r="C10" s="184"/>
      <c r="D10" s="2"/>
      <c r="E10" s="2"/>
      <c r="F10" s="53"/>
      <c r="G10" s="51"/>
      <c r="H10" s="54"/>
      <c r="I10" s="19"/>
      <c r="J10" s="74"/>
      <c r="K10" s="74"/>
      <c r="L10" s="74"/>
      <c r="M10" s="74"/>
      <c r="N10" s="76"/>
    </row>
    <row r="11" spans="1:15" s="107" customFormat="1" x14ac:dyDescent="0.2">
      <c r="A11" s="100"/>
      <c r="B11" s="80" t="s">
        <v>79</v>
      </c>
      <c r="C11" s="101"/>
      <c r="D11" s="80"/>
      <c r="E11" s="80"/>
      <c r="F11" s="102"/>
      <c r="G11" s="103"/>
      <c r="H11" s="104"/>
      <c r="I11" s="80"/>
      <c r="J11" s="105">
        <f>J10+J9+J8</f>
        <v>8252.0110000000004</v>
      </c>
      <c r="K11" s="105">
        <f>K10+K9+K8</f>
        <v>8252.0110000000004</v>
      </c>
      <c r="L11" s="105">
        <f>L10+L9+L8</f>
        <v>8252.0110000000004</v>
      </c>
      <c r="M11" s="105">
        <f>M10+M9+M8</f>
        <v>24756.032999999999</v>
      </c>
      <c r="N11" s="101"/>
      <c r="O11" s="106"/>
    </row>
    <row r="12" spans="1:15" x14ac:dyDescent="0.2">
      <c r="A12" s="2"/>
      <c r="B12" s="176" t="s">
        <v>131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8"/>
      <c r="N12" s="3"/>
      <c r="O12" s="23"/>
    </row>
    <row r="13" spans="1:15" x14ac:dyDescent="0.2">
      <c r="A13" s="2" t="s">
        <v>80</v>
      </c>
      <c r="B13" s="176" t="s">
        <v>92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8"/>
      <c r="N13" s="4"/>
    </row>
    <row r="14" spans="1:15" ht="30" customHeight="1" x14ac:dyDescent="0.25">
      <c r="A14" s="197" t="s">
        <v>81</v>
      </c>
      <c r="B14" s="158" t="s">
        <v>195</v>
      </c>
      <c r="C14" s="183" t="s">
        <v>114</v>
      </c>
      <c r="D14" s="2" t="s">
        <v>115</v>
      </c>
      <c r="E14" s="2" t="s">
        <v>90</v>
      </c>
      <c r="F14" s="53" t="s">
        <v>165</v>
      </c>
      <c r="G14" s="51">
        <v>1</v>
      </c>
      <c r="H14" s="54" t="s">
        <v>190</v>
      </c>
      <c r="I14" s="2" t="s">
        <v>166</v>
      </c>
      <c r="J14" s="74">
        <v>12500.962</v>
      </c>
      <c r="K14" s="74">
        <v>12500.962</v>
      </c>
      <c r="L14" s="74">
        <v>12500.962</v>
      </c>
      <c r="M14" s="74">
        <f>J14+K14+L14</f>
        <v>37502.885999999999</v>
      </c>
      <c r="N14" s="194" t="s">
        <v>128</v>
      </c>
      <c r="O14" s="58"/>
    </row>
    <row r="15" spans="1:15" ht="66.75" customHeight="1" x14ac:dyDescent="0.25">
      <c r="A15" s="198"/>
      <c r="B15" s="159"/>
      <c r="C15" s="184"/>
      <c r="D15" s="2" t="s">
        <v>115</v>
      </c>
      <c r="E15" s="2" t="s">
        <v>90</v>
      </c>
      <c r="F15" s="53" t="s">
        <v>165</v>
      </c>
      <c r="G15" s="51">
        <v>1</v>
      </c>
      <c r="H15" s="54" t="s">
        <v>196</v>
      </c>
      <c r="I15" s="2" t="s">
        <v>166</v>
      </c>
      <c r="J15" s="74">
        <v>116.581</v>
      </c>
      <c r="K15" s="74">
        <v>116.581</v>
      </c>
      <c r="L15" s="74">
        <v>116.581</v>
      </c>
      <c r="M15" s="74">
        <f>J15+K15+L15</f>
        <v>349.74299999999999</v>
      </c>
      <c r="N15" s="195"/>
      <c r="O15" s="58"/>
    </row>
    <row r="16" spans="1:15" ht="36.75" hidden="1" customHeight="1" x14ac:dyDescent="0.25">
      <c r="A16" s="199"/>
      <c r="B16" s="160"/>
      <c r="C16" s="183"/>
      <c r="D16" s="2"/>
      <c r="E16" s="2"/>
      <c r="F16" s="53"/>
      <c r="G16" s="51"/>
      <c r="H16" s="54"/>
      <c r="I16" s="2"/>
      <c r="J16" s="74"/>
      <c r="K16" s="74"/>
      <c r="L16" s="74"/>
      <c r="M16" s="74"/>
      <c r="N16" s="195"/>
      <c r="O16" s="59"/>
    </row>
    <row r="17" spans="1:15" ht="17.25" hidden="1" customHeight="1" x14ac:dyDescent="0.25">
      <c r="A17" s="11"/>
      <c r="B17" s="99"/>
      <c r="C17" s="184"/>
      <c r="D17" s="2"/>
      <c r="E17" s="2"/>
      <c r="F17" s="53"/>
      <c r="G17" s="51"/>
      <c r="H17" s="54"/>
      <c r="I17" s="2"/>
      <c r="J17" s="74"/>
      <c r="K17" s="74"/>
      <c r="L17" s="74"/>
      <c r="M17" s="74"/>
      <c r="N17" s="195"/>
      <c r="O17" s="59"/>
    </row>
    <row r="18" spans="1:15" ht="15.75" hidden="1" customHeight="1" x14ac:dyDescent="0.25">
      <c r="A18" s="11"/>
      <c r="B18" s="99"/>
      <c r="C18" s="5"/>
      <c r="D18" s="2"/>
      <c r="E18" s="2"/>
      <c r="F18" s="53"/>
      <c r="G18" s="51"/>
      <c r="H18" s="54"/>
      <c r="I18" s="2"/>
      <c r="J18" s="74"/>
      <c r="K18" s="74"/>
      <c r="L18" s="74"/>
      <c r="M18" s="74"/>
      <c r="N18" s="196"/>
      <c r="O18" s="59"/>
    </row>
    <row r="19" spans="1:15" s="107" customFormat="1" x14ac:dyDescent="0.2">
      <c r="A19" s="100"/>
      <c r="B19" s="80" t="s">
        <v>82</v>
      </c>
      <c r="C19" s="101"/>
      <c r="D19" s="80"/>
      <c r="E19" s="80"/>
      <c r="F19" s="102"/>
      <c r="G19" s="103"/>
      <c r="H19" s="104"/>
      <c r="I19" s="80"/>
      <c r="J19" s="105">
        <f>J18+J17+J16+J15+J14</f>
        <v>12617.543</v>
      </c>
      <c r="K19" s="105">
        <f>K18+K17+K16+K15+K14</f>
        <v>12617.543</v>
      </c>
      <c r="L19" s="105">
        <f>L18+L17+L16+L15+L14</f>
        <v>12617.543</v>
      </c>
      <c r="M19" s="105">
        <f>M18+M17+M16+M15+M14</f>
        <v>37852.629000000001</v>
      </c>
      <c r="N19" s="101"/>
      <c r="O19" s="106"/>
    </row>
    <row r="20" spans="1:15" s="107" customFormat="1" x14ac:dyDescent="0.2">
      <c r="A20" s="100"/>
      <c r="B20" s="80" t="s">
        <v>86</v>
      </c>
      <c r="C20" s="80"/>
      <c r="D20" s="80"/>
      <c r="E20" s="80"/>
      <c r="F20" s="102"/>
      <c r="G20" s="103"/>
      <c r="H20" s="104"/>
      <c r="I20" s="80"/>
      <c r="J20" s="105">
        <f>J19+J11</f>
        <v>20869.554</v>
      </c>
      <c r="K20" s="105">
        <f>K19+K11</f>
        <v>20869.554</v>
      </c>
      <c r="L20" s="105">
        <f>L19+L11</f>
        <v>20869.554</v>
      </c>
      <c r="M20" s="105">
        <f>M19+M11</f>
        <v>62608.661999999997</v>
      </c>
      <c r="N20" s="80"/>
      <c r="O20" s="106"/>
    </row>
    <row r="21" spans="1:15" x14ac:dyDescent="0.2">
      <c r="A21" s="2"/>
      <c r="B21" s="4" t="s">
        <v>121</v>
      </c>
      <c r="C21" s="4"/>
      <c r="D21" s="4"/>
      <c r="E21" s="4"/>
      <c r="F21" s="53"/>
      <c r="G21" s="51"/>
      <c r="H21" s="52"/>
      <c r="I21" s="4"/>
      <c r="J21" s="74"/>
      <c r="K21" s="74"/>
      <c r="L21" s="74"/>
      <c r="M21" s="74">
        <f>J21+K21+L21</f>
        <v>0</v>
      </c>
      <c r="N21" s="4"/>
    </row>
    <row r="22" spans="1:15" ht="47.25" x14ac:dyDescent="0.2">
      <c r="A22" s="2"/>
      <c r="B22" s="4" t="s">
        <v>127</v>
      </c>
      <c r="C22" s="4" t="s">
        <v>114</v>
      </c>
      <c r="D22" s="4">
        <v>863</v>
      </c>
      <c r="E22" s="75" t="s">
        <v>90</v>
      </c>
      <c r="F22" s="53" t="s">
        <v>165</v>
      </c>
      <c r="G22" s="113">
        <v>1</v>
      </c>
      <c r="H22" s="54" t="s">
        <v>190</v>
      </c>
      <c r="I22" s="75" t="s">
        <v>198</v>
      </c>
      <c r="J22" s="74">
        <v>330</v>
      </c>
      <c r="K22" s="74">
        <v>330</v>
      </c>
      <c r="L22" s="74">
        <v>330</v>
      </c>
      <c r="M22" s="74">
        <f>J22+K22+L22</f>
        <v>990</v>
      </c>
      <c r="N22" s="4" t="s">
        <v>130</v>
      </c>
      <c r="O22" s="23"/>
    </row>
    <row r="23" spans="1:15" ht="63" x14ac:dyDescent="0.2">
      <c r="B23" s="4" t="s">
        <v>129</v>
      </c>
      <c r="C23" s="4" t="s">
        <v>114</v>
      </c>
      <c r="D23" s="4">
        <v>863</v>
      </c>
      <c r="E23" s="75" t="s">
        <v>123</v>
      </c>
      <c r="F23" s="53" t="s">
        <v>165</v>
      </c>
      <c r="G23" s="113">
        <v>1</v>
      </c>
      <c r="H23" s="54" t="s">
        <v>190</v>
      </c>
      <c r="I23" s="75" t="s">
        <v>197</v>
      </c>
      <c r="J23" s="4">
        <v>120</v>
      </c>
      <c r="K23" s="4">
        <v>120</v>
      </c>
      <c r="L23" s="4">
        <v>120</v>
      </c>
      <c r="M23" s="74">
        <f>J23+K23+L23</f>
        <v>360</v>
      </c>
      <c r="N23" s="4"/>
    </row>
    <row r="24" spans="1:15" s="49" customFormat="1" ht="53.25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48"/>
      <c r="K24" s="48"/>
      <c r="L24" s="48"/>
      <c r="M24" s="48"/>
    </row>
    <row r="26" spans="1:15" x14ac:dyDescent="0.2">
      <c r="J26" s="23"/>
      <c r="K26" s="23"/>
      <c r="L26" s="23"/>
      <c r="M26" s="23"/>
    </row>
    <row r="27" spans="1:15" x14ac:dyDescent="0.2">
      <c r="J27" s="23"/>
      <c r="K27" s="23"/>
      <c r="L27" s="23"/>
      <c r="M27" s="23"/>
      <c r="O27" s="23"/>
    </row>
  </sheetData>
  <mergeCells count="22">
    <mergeCell ref="B14:B16"/>
    <mergeCell ref="B12:M12"/>
    <mergeCell ref="C4:C5"/>
    <mergeCell ref="D4:I4"/>
    <mergeCell ref="F5:H5"/>
    <mergeCell ref="J4:M4"/>
    <mergeCell ref="A24:I24"/>
    <mergeCell ref="N14:N18"/>
    <mergeCell ref="B6:M6"/>
    <mergeCell ref="B7:M7"/>
    <mergeCell ref="B13:M13"/>
    <mergeCell ref="A14:A16"/>
    <mergeCell ref="C14:C15"/>
    <mergeCell ref="C16:C17"/>
    <mergeCell ref="B8:B10"/>
    <mergeCell ref="C8:C10"/>
    <mergeCell ref="E1:G1"/>
    <mergeCell ref="L1:N1"/>
    <mergeCell ref="A2:N2"/>
    <mergeCell ref="A4:A5"/>
    <mergeCell ref="B4:B5"/>
    <mergeCell ref="N4:N5"/>
  </mergeCells>
  <phoneticPr fontId="0" type="noConversion"/>
  <pageMargins left="0.35" right="0.25" top="0.44" bottom="0.41" header="0.39" footer="0.31"/>
  <pageSetup paperSize="9" scale="54" fitToHeight="1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O35"/>
  <sheetViews>
    <sheetView view="pageBreakPreview" zoomScale="70" zoomScaleNormal="85" zoomScaleSheetLayoutView="70" workbookViewId="0">
      <selection activeCell="J39" sqref="J39"/>
    </sheetView>
  </sheetViews>
  <sheetFormatPr defaultRowHeight="15.75" outlineLevelRow="1" x14ac:dyDescent="0.2"/>
  <cols>
    <col min="1" max="1" width="7.7109375" style="50" customWidth="1"/>
    <col min="2" max="2" width="30.85546875" style="24" customWidth="1"/>
    <col min="3" max="3" width="16.140625" style="24" customWidth="1"/>
    <col min="4" max="5" width="9.140625" style="24"/>
    <col min="6" max="6" width="4.5703125" style="24" customWidth="1"/>
    <col min="7" max="7" width="2.42578125" style="24" customWidth="1"/>
    <col min="8" max="8" width="11" style="24" customWidth="1"/>
    <col min="9" max="9" width="9.140625" style="24"/>
    <col min="10" max="10" width="13.5703125" style="24" customWidth="1"/>
    <col min="11" max="11" width="14.140625" style="24" customWidth="1"/>
    <col min="12" max="12" width="14.5703125" style="24" customWidth="1"/>
    <col min="13" max="13" width="15.140625" style="24" customWidth="1"/>
    <col min="14" max="14" width="26.28515625" style="24" customWidth="1"/>
    <col min="15" max="15" width="10.42578125" style="24" bestFit="1" customWidth="1"/>
    <col min="16" max="16384" width="9.140625" style="24"/>
  </cols>
  <sheetData>
    <row r="1" spans="1:15" ht="116.25" customHeight="1" x14ac:dyDescent="0.2">
      <c r="E1" s="179"/>
      <c r="F1" s="200"/>
      <c r="G1" s="200"/>
      <c r="L1" s="175" t="s">
        <v>199</v>
      </c>
      <c r="M1" s="175"/>
      <c r="N1" s="175"/>
      <c r="O1" s="1"/>
    </row>
    <row r="2" spans="1:15" ht="39" customHeight="1" x14ac:dyDescent="0.2">
      <c r="A2" s="181" t="s">
        <v>136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5" x14ac:dyDescent="0.2">
      <c r="E3" s="7"/>
      <c r="F3" s="6" t="s">
        <v>91</v>
      </c>
      <c r="G3" s="7">
        <v>5</v>
      </c>
      <c r="H3" s="7"/>
      <c r="I3" s="7"/>
    </row>
    <row r="4" spans="1:15" ht="18" customHeight="1" x14ac:dyDescent="0.2">
      <c r="A4" s="182" t="s">
        <v>65</v>
      </c>
      <c r="B4" s="183" t="s">
        <v>66</v>
      </c>
      <c r="C4" s="161" t="s">
        <v>67</v>
      </c>
      <c r="D4" s="161" t="s">
        <v>68</v>
      </c>
      <c r="E4" s="161"/>
      <c r="F4" s="161"/>
      <c r="G4" s="161"/>
      <c r="H4" s="161"/>
      <c r="I4" s="161"/>
      <c r="J4" s="185" t="s">
        <v>69</v>
      </c>
      <c r="K4" s="186"/>
      <c r="L4" s="186"/>
      <c r="M4" s="187"/>
      <c r="N4" s="161" t="s">
        <v>70</v>
      </c>
    </row>
    <row r="5" spans="1:15" ht="84.75" customHeight="1" x14ac:dyDescent="0.2">
      <c r="A5" s="182"/>
      <c r="B5" s="184"/>
      <c r="C5" s="161"/>
      <c r="D5" s="19" t="s">
        <v>71</v>
      </c>
      <c r="E5" s="19" t="s">
        <v>72</v>
      </c>
      <c r="F5" s="185" t="s">
        <v>73</v>
      </c>
      <c r="G5" s="186"/>
      <c r="H5" s="187"/>
      <c r="I5" s="19" t="s">
        <v>74</v>
      </c>
      <c r="J5" s="19" t="s">
        <v>77</v>
      </c>
      <c r="K5" s="19" t="s">
        <v>170</v>
      </c>
      <c r="L5" s="19" t="s">
        <v>186</v>
      </c>
      <c r="M5" s="19" t="s">
        <v>193</v>
      </c>
      <c r="N5" s="161"/>
    </row>
    <row r="6" spans="1:15" hidden="1" x14ac:dyDescent="0.2">
      <c r="A6" s="2"/>
      <c r="B6" s="176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19"/>
    </row>
    <row r="7" spans="1:15" hidden="1" x14ac:dyDescent="0.2">
      <c r="A7" s="2"/>
      <c r="B7" s="176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4"/>
    </row>
    <row r="8" spans="1:15" ht="23.25" hidden="1" customHeight="1" x14ac:dyDescent="0.25">
      <c r="A8" s="10"/>
      <c r="B8" s="13"/>
      <c r="C8" s="5"/>
      <c r="D8" s="2"/>
      <c r="E8" s="2"/>
      <c r="F8" s="53"/>
      <c r="G8" s="51"/>
      <c r="H8" s="54"/>
      <c r="I8" s="2"/>
      <c r="J8" s="12"/>
      <c r="K8" s="12"/>
      <c r="L8" s="12"/>
      <c r="M8" s="12"/>
      <c r="N8" s="57"/>
      <c r="O8" s="59"/>
    </row>
    <row r="9" spans="1:15" ht="23.25" hidden="1" customHeight="1" x14ac:dyDescent="0.25">
      <c r="A9" s="10"/>
      <c r="B9" s="13"/>
      <c r="C9" s="5"/>
      <c r="D9" s="2"/>
      <c r="E9" s="2"/>
      <c r="F9" s="53"/>
      <c r="G9" s="51"/>
      <c r="H9" s="54"/>
      <c r="I9" s="2"/>
      <c r="J9" s="12"/>
      <c r="K9" s="12"/>
      <c r="L9" s="12"/>
      <c r="M9" s="12"/>
      <c r="N9" s="57"/>
      <c r="O9" s="59"/>
    </row>
    <row r="10" spans="1:15" hidden="1" x14ac:dyDescent="0.2">
      <c r="A10" s="2"/>
      <c r="B10" s="4" t="s">
        <v>79</v>
      </c>
      <c r="C10" s="3"/>
      <c r="D10" s="4"/>
      <c r="E10" s="4"/>
      <c r="F10" s="53"/>
      <c r="G10" s="51"/>
      <c r="H10" s="52"/>
      <c r="I10" s="4"/>
      <c r="J10" s="79">
        <f>J8+J9</f>
        <v>0</v>
      </c>
      <c r="K10" s="79">
        <f>SUM(K8:K8)</f>
        <v>0</v>
      </c>
      <c r="L10" s="79">
        <f>SUM(L8:L8)</f>
        <v>0</v>
      </c>
      <c r="M10" s="79">
        <f>SUM(J10:L10)</f>
        <v>0</v>
      </c>
      <c r="N10" s="3"/>
      <c r="O10" s="23"/>
    </row>
    <row r="11" spans="1:15" x14ac:dyDescent="0.2">
      <c r="A11" s="2" t="s">
        <v>80</v>
      </c>
      <c r="B11" s="176" t="s">
        <v>137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8"/>
      <c r="N11" s="3"/>
    </row>
    <row r="12" spans="1:15" x14ac:dyDescent="0.2">
      <c r="A12" s="2"/>
      <c r="B12" s="4"/>
      <c r="C12" s="3"/>
      <c r="D12" s="2"/>
      <c r="E12" s="2"/>
      <c r="F12" s="53"/>
      <c r="G12" s="51"/>
      <c r="H12" s="54"/>
      <c r="I12" s="2"/>
      <c r="J12" s="74"/>
      <c r="K12" s="74"/>
      <c r="L12" s="74"/>
      <c r="M12" s="74"/>
      <c r="N12" s="76"/>
    </row>
    <row r="13" spans="1:15" ht="94.5" hidden="1" x14ac:dyDescent="0.2">
      <c r="A13" s="2" t="s">
        <v>98</v>
      </c>
      <c r="B13" s="4" t="s">
        <v>96</v>
      </c>
      <c r="C13" s="3" t="s">
        <v>114</v>
      </c>
      <c r="D13" s="2" t="s">
        <v>87</v>
      </c>
      <c r="E13" s="2" t="s">
        <v>90</v>
      </c>
      <c r="F13" s="53" t="str">
        <f>$F$3</f>
        <v>08</v>
      </c>
      <c r="G13" s="51">
        <f>$G$3</f>
        <v>5</v>
      </c>
      <c r="H13" s="54" t="s">
        <v>97</v>
      </c>
      <c r="I13" s="2" t="s">
        <v>94</v>
      </c>
      <c r="J13" s="74">
        <v>6929</v>
      </c>
      <c r="K13" s="74">
        <v>6929</v>
      </c>
      <c r="L13" s="74">
        <v>6929</v>
      </c>
      <c r="M13" s="74">
        <f>SUM(J13:L13)</f>
        <v>20787</v>
      </c>
      <c r="N13" s="76"/>
    </row>
    <row r="14" spans="1:15" ht="78.75" x14ac:dyDescent="0.2">
      <c r="A14" s="2" t="s">
        <v>63</v>
      </c>
      <c r="B14" s="4" t="s">
        <v>168</v>
      </c>
      <c r="C14" s="3" t="s">
        <v>114</v>
      </c>
      <c r="D14" s="2" t="s">
        <v>115</v>
      </c>
      <c r="E14" s="2" t="s">
        <v>90</v>
      </c>
      <c r="F14" s="53" t="s">
        <v>165</v>
      </c>
      <c r="G14" s="51">
        <v>3</v>
      </c>
      <c r="H14" s="54" t="s">
        <v>200</v>
      </c>
      <c r="I14" s="2" t="s">
        <v>167</v>
      </c>
      <c r="J14" s="74">
        <v>18.399999999999999</v>
      </c>
      <c r="K14" s="74">
        <v>18.399999999999999</v>
      </c>
      <c r="L14" s="74"/>
      <c r="M14" s="74">
        <f>SUM(J14:L14)</f>
        <v>36.799999999999997</v>
      </c>
      <c r="N14" s="76" t="s">
        <v>169</v>
      </c>
    </row>
    <row r="15" spans="1:15" hidden="1" x14ac:dyDescent="0.2">
      <c r="A15" s="2"/>
      <c r="B15" s="4"/>
      <c r="C15" s="3"/>
      <c r="D15" s="2"/>
      <c r="E15" s="2"/>
      <c r="F15" s="53"/>
      <c r="G15" s="51"/>
      <c r="H15" s="54"/>
      <c r="I15" s="2"/>
      <c r="J15" s="74"/>
      <c r="K15" s="74"/>
      <c r="L15" s="74"/>
      <c r="M15" s="74"/>
      <c r="N15" s="76"/>
    </row>
    <row r="16" spans="1:15" s="107" customFormat="1" x14ac:dyDescent="0.2">
      <c r="A16" s="100"/>
      <c r="B16" s="80" t="s">
        <v>82</v>
      </c>
      <c r="C16" s="101"/>
      <c r="D16" s="80"/>
      <c r="E16" s="80"/>
      <c r="F16" s="102"/>
      <c r="G16" s="103"/>
      <c r="H16" s="104"/>
      <c r="I16" s="80"/>
      <c r="J16" s="105">
        <f>J14</f>
        <v>18.399999999999999</v>
      </c>
      <c r="K16" s="105">
        <f>K14</f>
        <v>18.399999999999999</v>
      </c>
      <c r="L16" s="105">
        <f>L14</f>
        <v>0</v>
      </c>
      <c r="M16" s="105">
        <f>M14</f>
        <v>36.799999999999997</v>
      </c>
      <c r="N16" s="101"/>
      <c r="O16" s="106"/>
    </row>
    <row r="17" spans="1:15" ht="38.25" customHeight="1" x14ac:dyDescent="0.2">
      <c r="A17" s="60" t="s">
        <v>62</v>
      </c>
      <c r="B17" s="176" t="s">
        <v>61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8"/>
      <c r="N17" s="14"/>
    </row>
    <row r="18" spans="1:15" s="107" customFormat="1" ht="15.75" customHeight="1" x14ac:dyDescent="0.25">
      <c r="A18" s="109" t="s">
        <v>84</v>
      </c>
      <c r="B18" s="158" t="s">
        <v>59</v>
      </c>
      <c r="C18" s="110" t="s">
        <v>114</v>
      </c>
      <c r="D18" s="116" t="s">
        <v>115</v>
      </c>
      <c r="E18" s="116" t="s">
        <v>88</v>
      </c>
      <c r="F18" s="136" t="s">
        <v>182</v>
      </c>
      <c r="G18" s="137"/>
      <c r="H18" s="138"/>
      <c r="I18" s="117"/>
      <c r="J18" s="118">
        <f>J19+J21+J22+J20</f>
        <v>1636.7860000000001</v>
      </c>
      <c r="K18" s="118">
        <f>K19+K21+K22+K20</f>
        <v>1636.7860000000001</v>
      </c>
      <c r="L18" s="118">
        <f>L19+L21+L22+L20</f>
        <v>1636.7860000000001</v>
      </c>
      <c r="M18" s="118">
        <f>M19+M21+M22+M20</f>
        <v>4910.3580000000002</v>
      </c>
      <c r="N18" s="194" t="s">
        <v>138</v>
      </c>
      <c r="O18" s="111"/>
    </row>
    <row r="19" spans="1:15" x14ac:dyDescent="0.25">
      <c r="A19" s="108"/>
      <c r="B19" s="159"/>
      <c r="C19" s="5" t="s">
        <v>114</v>
      </c>
      <c r="D19" s="121" t="s">
        <v>115</v>
      </c>
      <c r="E19" s="121" t="s">
        <v>88</v>
      </c>
      <c r="F19" s="133" t="s">
        <v>182</v>
      </c>
      <c r="G19" s="134"/>
      <c r="H19" s="135"/>
      <c r="I19" s="122">
        <v>121</v>
      </c>
      <c r="J19" s="123">
        <v>1141.925</v>
      </c>
      <c r="K19" s="123">
        <v>1141.925</v>
      </c>
      <c r="L19" s="123">
        <v>1141.925</v>
      </c>
      <c r="M19" s="123">
        <f t="shared" ref="M19:M27" si="0">SUM(J19:L19)</f>
        <v>3425.7749999999996</v>
      </c>
      <c r="N19" s="195"/>
      <c r="O19" s="59"/>
    </row>
    <row r="20" spans="1:15" x14ac:dyDescent="0.25">
      <c r="A20" s="108"/>
      <c r="B20" s="159"/>
      <c r="C20" s="5" t="s">
        <v>114</v>
      </c>
      <c r="D20" s="121" t="s">
        <v>115</v>
      </c>
      <c r="E20" s="121" t="s">
        <v>88</v>
      </c>
      <c r="F20" s="133" t="s">
        <v>182</v>
      </c>
      <c r="G20" s="134"/>
      <c r="H20" s="135"/>
      <c r="I20" s="122">
        <v>129</v>
      </c>
      <c r="J20" s="123">
        <v>344.86099999999999</v>
      </c>
      <c r="K20" s="123">
        <v>344.86099999999999</v>
      </c>
      <c r="L20" s="123">
        <v>344.86099999999999</v>
      </c>
      <c r="M20" s="123">
        <f t="shared" si="0"/>
        <v>1034.5830000000001</v>
      </c>
      <c r="N20" s="195"/>
      <c r="O20" s="59"/>
    </row>
    <row r="21" spans="1:15" x14ac:dyDescent="0.25">
      <c r="A21" s="108"/>
      <c r="B21" s="159"/>
      <c r="C21" s="5" t="s">
        <v>114</v>
      </c>
      <c r="D21" s="121" t="s">
        <v>115</v>
      </c>
      <c r="E21" s="121" t="s">
        <v>88</v>
      </c>
      <c r="F21" s="133" t="s">
        <v>182</v>
      </c>
      <c r="G21" s="134"/>
      <c r="H21" s="135"/>
      <c r="I21" s="122">
        <v>122</v>
      </c>
      <c r="J21" s="123">
        <v>40</v>
      </c>
      <c r="K21" s="123">
        <v>40</v>
      </c>
      <c r="L21" s="123">
        <v>40</v>
      </c>
      <c r="M21" s="123">
        <f t="shared" si="0"/>
        <v>120</v>
      </c>
      <c r="N21" s="195"/>
      <c r="O21" s="59"/>
    </row>
    <row r="22" spans="1:15" s="107" customFormat="1" x14ac:dyDescent="0.25">
      <c r="A22" s="112"/>
      <c r="B22" s="159"/>
      <c r="C22" s="110" t="s">
        <v>114</v>
      </c>
      <c r="D22" s="121" t="s">
        <v>115</v>
      </c>
      <c r="E22" s="121" t="s">
        <v>88</v>
      </c>
      <c r="F22" s="133" t="s">
        <v>182</v>
      </c>
      <c r="G22" s="134"/>
      <c r="H22" s="135"/>
      <c r="I22" s="122">
        <v>244</v>
      </c>
      <c r="J22" s="123">
        <v>110</v>
      </c>
      <c r="K22" s="123">
        <v>110</v>
      </c>
      <c r="L22" s="81">
        <v>110</v>
      </c>
      <c r="M22" s="123">
        <f t="shared" si="0"/>
        <v>330</v>
      </c>
      <c r="N22" s="195"/>
      <c r="O22" s="111"/>
    </row>
    <row r="23" spans="1:15" x14ac:dyDescent="0.25">
      <c r="A23" s="108"/>
      <c r="B23" s="159"/>
      <c r="C23" s="5" t="s">
        <v>114</v>
      </c>
      <c r="D23" s="116" t="s">
        <v>115</v>
      </c>
      <c r="E23" s="116" t="s">
        <v>88</v>
      </c>
      <c r="F23" s="136" t="s">
        <v>183</v>
      </c>
      <c r="G23" s="137"/>
      <c r="H23" s="138"/>
      <c r="I23" s="117"/>
      <c r="J23" s="118">
        <f>J24+J26+J27+J25</f>
        <v>2836.009</v>
      </c>
      <c r="K23" s="118">
        <f>K24+K26+K27+K25</f>
        <v>2836.009</v>
      </c>
      <c r="L23" s="118">
        <f>L24+L26+L27+L25</f>
        <v>2836.009</v>
      </c>
      <c r="M23" s="118">
        <f>M24+M26+M27+M25</f>
        <v>8508.027</v>
      </c>
      <c r="N23" s="195"/>
      <c r="O23" s="59"/>
    </row>
    <row r="24" spans="1:15" x14ac:dyDescent="0.25">
      <c r="A24" s="108"/>
      <c r="B24" s="159"/>
      <c r="C24" s="5" t="s">
        <v>114</v>
      </c>
      <c r="D24" s="121" t="s">
        <v>115</v>
      </c>
      <c r="E24" s="121" t="s">
        <v>88</v>
      </c>
      <c r="F24" s="136" t="s">
        <v>183</v>
      </c>
      <c r="G24" s="137"/>
      <c r="H24" s="138"/>
      <c r="I24" s="122">
        <v>111</v>
      </c>
      <c r="J24" s="123">
        <v>2028.425</v>
      </c>
      <c r="K24" s="123">
        <v>2028.425</v>
      </c>
      <c r="L24" s="123">
        <v>2028.425</v>
      </c>
      <c r="M24" s="81">
        <f t="shared" si="0"/>
        <v>6085.2749999999996</v>
      </c>
      <c r="N24" s="195"/>
      <c r="O24" s="59"/>
    </row>
    <row r="25" spans="1:15" x14ac:dyDescent="0.25">
      <c r="A25" s="108"/>
      <c r="B25" s="159"/>
      <c r="C25" s="5" t="s">
        <v>114</v>
      </c>
      <c r="D25" s="121" t="s">
        <v>115</v>
      </c>
      <c r="E25" s="121" t="s">
        <v>88</v>
      </c>
      <c r="F25" s="136" t="s">
        <v>183</v>
      </c>
      <c r="G25" s="137"/>
      <c r="H25" s="138"/>
      <c r="I25" s="122">
        <v>119</v>
      </c>
      <c r="J25" s="123">
        <v>612.58399999999995</v>
      </c>
      <c r="K25" s="123">
        <v>612.58399999999995</v>
      </c>
      <c r="L25" s="123">
        <v>612.58399999999995</v>
      </c>
      <c r="M25" s="81">
        <f t="shared" si="0"/>
        <v>1837.752</v>
      </c>
      <c r="N25" s="195"/>
      <c r="O25" s="59"/>
    </row>
    <row r="26" spans="1:15" ht="23.25" customHeight="1" outlineLevel="1" x14ac:dyDescent="0.25">
      <c r="A26" s="61"/>
      <c r="B26" s="4"/>
      <c r="C26" s="5" t="s">
        <v>114</v>
      </c>
      <c r="D26" s="121" t="s">
        <v>115</v>
      </c>
      <c r="E26" s="121" t="s">
        <v>88</v>
      </c>
      <c r="F26" s="136" t="s">
        <v>183</v>
      </c>
      <c r="G26" s="137"/>
      <c r="H26" s="138"/>
      <c r="I26" s="122">
        <v>112</v>
      </c>
      <c r="J26" s="123">
        <v>5.2</v>
      </c>
      <c r="K26" s="123">
        <v>5.2</v>
      </c>
      <c r="L26" s="123">
        <v>5.2</v>
      </c>
      <c r="M26" s="81">
        <f t="shared" si="0"/>
        <v>15.600000000000001</v>
      </c>
      <c r="N26" s="195"/>
      <c r="O26" s="59"/>
    </row>
    <row r="27" spans="1:15" x14ac:dyDescent="0.2">
      <c r="A27" s="2"/>
      <c r="B27" s="80"/>
      <c r="C27" s="5" t="s">
        <v>114</v>
      </c>
      <c r="D27" s="121" t="s">
        <v>115</v>
      </c>
      <c r="E27" s="121" t="s">
        <v>88</v>
      </c>
      <c r="F27" s="136" t="s">
        <v>183</v>
      </c>
      <c r="G27" s="137"/>
      <c r="H27" s="138"/>
      <c r="I27" s="122">
        <v>244</v>
      </c>
      <c r="J27" s="123">
        <v>189.8</v>
      </c>
      <c r="K27" s="123">
        <v>189.8</v>
      </c>
      <c r="L27" s="81">
        <v>189.8</v>
      </c>
      <c r="M27" s="81">
        <f t="shared" si="0"/>
        <v>569.40000000000009</v>
      </c>
      <c r="N27" s="196"/>
      <c r="O27" s="23"/>
    </row>
    <row r="28" spans="1:15" x14ac:dyDescent="0.2">
      <c r="A28" s="2"/>
      <c r="B28" s="4"/>
      <c r="C28" s="4"/>
      <c r="D28" s="4"/>
      <c r="E28" s="4"/>
      <c r="F28" s="53"/>
      <c r="G28" s="51"/>
      <c r="H28" s="52"/>
      <c r="I28" s="4"/>
      <c r="J28" s="81"/>
      <c r="K28" s="81"/>
      <c r="L28" s="81"/>
      <c r="M28" s="81"/>
      <c r="N28" s="4"/>
    </row>
    <row r="29" spans="1:15" x14ac:dyDescent="0.2">
      <c r="A29" s="2"/>
      <c r="B29" s="4" t="s">
        <v>85</v>
      </c>
      <c r="C29" s="4"/>
      <c r="D29" s="4"/>
      <c r="E29" s="4"/>
      <c r="F29" s="53"/>
      <c r="G29" s="51"/>
      <c r="H29" s="52"/>
      <c r="I29" s="4"/>
      <c r="J29" s="74">
        <f>J23+J18</f>
        <v>4472.7950000000001</v>
      </c>
      <c r="K29" s="74">
        <f>K23+K18</f>
        <v>4472.7950000000001</v>
      </c>
      <c r="L29" s="74">
        <f>L23+L18</f>
        <v>4472.7950000000001</v>
      </c>
      <c r="M29" s="74">
        <f>M23+M18</f>
        <v>13418.385</v>
      </c>
      <c r="N29" s="4"/>
      <c r="O29" s="23"/>
    </row>
    <row r="30" spans="1:15" s="107" customFormat="1" x14ac:dyDescent="0.2">
      <c r="A30" s="100"/>
      <c r="B30" s="80" t="s">
        <v>86</v>
      </c>
      <c r="C30" s="80"/>
      <c r="D30" s="80"/>
      <c r="E30" s="80"/>
      <c r="F30" s="102"/>
      <c r="G30" s="103"/>
      <c r="H30" s="104"/>
      <c r="I30" s="80"/>
      <c r="J30" s="105">
        <f>J29+J16</f>
        <v>4491.1949999999997</v>
      </c>
      <c r="K30" s="105">
        <f>K29+K16</f>
        <v>4491.1949999999997</v>
      </c>
      <c r="L30" s="105">
        <f>L29+L16</f>
        <v>4472.7950000000001</v>
      </c>
      <c r="M30" s="105">
        <f>M29+M16</f>
        <v>13455.184999999999</v>
      </c>
      <c r="N30" s="80"/>
      <c r="O30" s="106"/>
    </row>
    <row r="31" spans="1:15" s="49" customFormat="1" ht="35.25" hidden="1" customHeight="1" x14ac:dyDescent="0.2">
      <c r="A31" s="62"/>
    </row>
    <row r="32" spans="1:15" s="49" customFormat="1" ht="35.25" customHeight="1" x14ac:dyDescent="0.2">
      <c r="A32" s="188"/>
      <c r="B32" s="188"/>
      <c r="C32" s="188"/>
      <c r="D32" s="188"/>
      <c r="E32" s="188"/>
      <c r="F32" s="188"/>
      <c r="G32" s="188"/>
      <c r="H32" s="188"/>
      <c r="I32" s="188"/>
      <c r="J32" s="48"/>
      <c r="K32" s="48"/>
      <c r="L32" s="48"/>
      <c r="M32" s="48"/>
    </row>
    <row r="33" spans="1:15" s="49" customFormat="1" ht="35.25" customHeight="1" x14ac:dyDescent="0.2">
      <c r="A33" s="62"/>
    </row>
    <row r="34" spans="1:15" s="49" customFormat="1" ht="35.25" customHeight="1" x14ac:dyDescent="0.2">
      <c r="A34" s="62"/>
      <c r="J34" s="48"/>
    </row>
    <row r="35" spans="1:15" x14ac:dyDescent="0.2">
      <c r="J35" s="23"/>
      <c r="O35" s="23"/>
    </row>
  </sheetData>
  <mergeCells count="27">
    <mergeCell ref="E1:G1"/>
    <mergeCell ref="L1:N1"/>
    <mergeCell ref="A2:N2"/>
    <mergeCell ref="A4:A5"/>
    <mergeCell ref="B4:B5"/>
    <mergeCell ref="C4:C5"/>
    <mergeCell ref="D4:I4"/>
    <mergeCell ref="J4:M4"/>
    <mergeCell ref="N4:N5"/>
    <mergeCell ref="F5:H5"/>
    <mergeCell ref="A32:I32"/>
    <mergeCell ref="B6:M6"/>
    <mergeCell ref="B7:M7"/>
    <mergeCell ref="B11:M11"/>
    <mergeCell ref="B17:M17"/>
    <mergeCell ref="B18:B25"/>
    <mergeCell ref="F18:H18"/>
    <mergeCell ref="F19:H19"/>
    <mergeCell ref="F20:H20"/>
    <mergeCell ref="F25:H25"/>
    <mergeCell ref="F26:H26"/>
    <mergeCell ref="F27:H27"/>
    <mergeCell ref="N18:N27"/>
    <mergeCell ref="F21:H21"/>
    <mergeCell ref="F22:H22"/>
    <mergeCell ref="F23:H23"/>
    <mergeCell ref="F24:H24"/>
  </mergeCells>
  <phoneticPr fontId="0" type="noConversion"/>
  <pageMargins left="0.35" right="0.25" top="0.44" bottom="0.41" header="0.39" footer="0.31"/>
  <pageSetup paperSize="9" scale="54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МунПр пр1</vt:lpstr>
      <vt:lpstr>МунПр пр2</vt:lpstr>
      <vt:lpstr>Мун Пр пр3</vt:lpstr>
      <vt:lpstr>МБС</vt:lpstr>
      <vt:lpstr>РДК</vt:lpstr>
      <vt:lpstr>Субс оксм</vt:lpstr>
      <vt:lpstr>МБС!Заголовки_для_печати</vt:lpstr>
      <vt:lpstr>'Мун Пр пр3'!Заголовки_для_печати</vt:lpstr>
      <vt:lpstr>'МунПр пр1'!Заголовки_для_печати</vt:lpstr>
      <vt:lpstr>'МунПр пр2'!Заголовки_для_печати</vt:lpstr>
      <vt:lpstr>МБС!Область_печати</vt:lpstr>
      <vt:lpstr>'МунПр пр1'!Область_печати</vt:lpstr>
      <vt:lpstr>'МунПр пр2'!Область_печати</vt:lpstr>
      <vt:lpstr>РДК!Область_печати</vt:lpstr>
      <vt:lpstr>'Субс оксм'!Область_печати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Пользователь Windows</cp:lastModifiedBy>
  <cp:lastPrinted>2015-11-08T03:44:32Z</cp:lastPrinted>
  <dcterms:created xsi:type="dcterms:W3CDTF">2013-07-29T03:10:57Z</dcterms:created>
  <dcterms:modified xsi:type="dcterms:W3CDTF">2015-12-03T08:07:46Z</dcterms:modified>
</cp:coreProperties>
</file>